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8785" yWindow="165" windowWidth="27870" windowHeight="13125" tabRatio="982" activeTab="2"/>
  </bookViews>
  <sheets>
    <sheet name="Index" sheetId="7" r:id="rId1"/>
    <sheet name="Luminaire Schedule" sheetId="38" r:id="rId2"/>
    <sheet name="7L3a" sheetId="56" r:id="rId3"/>
    <sheet name="7L3b" sheetId="57" r:id="rId4"/>
  </sheets>
  <definedNames>
    <definedName name="Area_Zone_Level">Index!$C$7</definedName>
    <definedName name="ccts_extender" localSheetId="2">'7L3a'!$J$30</definedName>
    <definedName name="ccts_extender" localSheetId="3">'7L3b'!$J$30</definedName>
    <definedName name="ccts_mdb" localSheetId="2">'7L3a'!$J$15</definedName>
    <definedName name="ccts_mdb" localSheetId="3">'7L3b'!$J$15</definedName>
    <definedName name="ccts_SD" localSheetId="2">'7L3a'!$J$48</definedName>
    <definedName name="ccts_SD" localSheetId="3">'7L3b'!$J$48</definedName>
    <definedName name="Cg_2" localSheetId="2">'7L3a'!$AI$28</definedName>
    <definedName name="Cg_2" localSheetId="3">'7L3b'!$AI$28</definedName>
    <definedName name="Combo_1" localSheetId="2">'7L3a'!$AI$20</definedName>
    <definedName name="Combo_1" localSheetId="3">'7L3b'!$AI$20</definedName>
    <definedName name="CPD" localSheetId="2">'7L3a'!$AP$37</definedName>
    <definedName name="CPD" localSheetId="3">'7L3b'!$AP$37</definedName>
    <definedName name="cpd_type" localSheetId="2">'7L3a'!$D$30</definedName>
    <definedName name="cpd_type" localSheetId="3">'7L3b'!$D$30</definedName>
    <definedName name="Date">Index!$H$5</definedName>
    <definedName name="DB_Ref">Index!$C$15</definedName>
    <definedName name="Disconnection_Time" localSheetId="2">'7L3a'!$D$25</definedName>
    <definedName name="Disconnection_Time" localSheetId="3">'7L3b'!$D$25</definedName>
    <definedName name="Drawing_No">Index!$C$8</definedName>
    <definedName name="extender_Cg" localSheetId="2">'7L3a'!$AJ$27</definedName>
    <definedName name="extender_Cg" localSheetId="3">'7L3b'!$AJ$27</definedName>
    <definedName name="extender_CPD_R_Factor" localSheetId="2">'7L3a'!$AJ$15</definedName>
    <definedName name="extender_CPD_R_Factor" localSheetId="3">'7L3b'!$AJ$15</definedName>
    <definedName name="extender_csa" localSheetId="2">'7L3a'!$J$31</definedName>
    <definedName name="extender_csa" localSheetId="3">'7L3b'!$J$31</definedName>
    <definedName name="extender_i_limit" localSheetId="2">'7L3a'!$AJ$23</definedName>
    <definedName name="extender_i_limit" localSheetId="3">'7L3b'!$AJ$23</definedName>
    <definedName name="extender_ins" localSheetId="2">'7L3a'!$J$32</definedName>
    <definedName name="extender_ins" localSheetId="3">'7L3b'!$J$32</definedName>
    <definedName name="extender_It" localSheetId="2">'7L3a'!$J$34</definedName>
    <definedName name="extender_It" localSheetId="3">'7L3b'!$J$34</definedName>
    <definedName name="extender_It1" localSheetId="2">'7L3a'!$AJ$6</definedName>
    <definedName name="extender_It1" localSheetId="3">'7L3b'!$AJ$6</definedName>
    <definedName name="extender_It2" localSheetId="2">'7L3a'!$AJ$7</definedName>
    <definedName name="extender_It2" localSheetId="3">'7L3b'!$AJ$7</definedName>
    <definedName name="extender_PELI" localSheetId="2">'7L3a'!$J$37</definedName>
    <definedName name="extender_PELI" localSheetId="3">'7L3b'!$J$37</definedName>
    <definedName name="extender_R20cPHA" localSheetId="2">'7L3a'!$J$36</definedName>
    <definedName name="extender_R20cPHA" localSheetId="3">'7L3b'!$J$36</definedName>
    <definedName name="extender_tp" localSheetId="2">'7L3a'!$AJ$22</definedName>
    <definedName name="extender_tp" localSheetId="3">'7L3b'!$AJ$22</definedName>
    <definedName name="extender_Vd" localSheetId="2">'7L3a'!$J$35</definedName>
    <definedName name="extender_Vd" localSheetId="3">'7L3b'!$J$35</definedName>
    <definedName name="extender_Vd1" localSheetId="2">'7L3a'!$AJ$8</definedName>
    <definedName name="extender_Vd1" localSheetId="3">'7L3b'!$AJ$8</definedName>
    <definedName name="extender_Vd2" localSheetId="2">'7L3a'!$AJ$9</definedName>
    <definedName name="extender_Vd2" localSheetId="3">'7L3b'!$AJ$9</definedName>
    <definedName name="extender_Z1" localSheetId="2">'7L3a'!$AJ$10</definedName>
    <definedName name="extender_Z1" localSheetId="3">'7L3b'!$AJ$10</definedName>
    <definedName name="extender_Z2" localSheetId="2">'7L3a'!$AJ$11</definedName>
    <definedName name="extender_Z2" localSheetId="3">'7L3b'!$AJ$11</definedName>
    <definedName name="Extender_ZinstCPC" localSheetId="2">'7L3a'!$AJ$13</definedName>
    <definedName name="Extender_ZinstCPC" localSheetId="3">'7L3b'!$AJ$13</definedName>
    <definedName name="Extender_ZinstPH" localSheetId="2">'7L3a'!$AJ$12</definedName>
    <definedName name="Extender_ZinstPH" localSheetId="3">'7L3b'!$AJ$12</definedName>
    <definedName name="Homerun_Cg" localSheetId="2">'7L3a'!$AI$27</definedName>
    <definedName name="Homerun_Cg" localSheetId="3">'7L3b'!$AI$27</definedName>
    <definedName name="homerun_csa" localSheetId="2">'7L3a'!$J$16</definedName>
    <definedName name="homerun_csa" localSheetId="3">'7L3b'!$J$16</definedName>
    <definedName name="homerun_i_limit" localSheetId="2">'7L3a'!$AI$23</definedName>
    <definedName name="homerun_i_limit" localSheetId="3">'7L3b'!$AI$23</definedName>
    <definedName name="homerun_ins" localSheetId="2">'7L3a'!$J$17</definedName>
    <definedName name="homerun_ins" localSheetId="3">'7L3b'!$J$17</definedName>
    <definedName name="homerun_It" localSheetId="2">'7L3a'!$J$19</definedName>
    <definedName name="homerun_It" localSheetId="3">'7L3b'!$J$19</definedName>
    <definedName name="homerun_It1" localSheetId="2">'7L3a'!$AI$6</definedName>
    <definedName name="homerun_It1" localSheetId="3">'7L3b'!$AI$6</definedName>
    <definedName name="homerun_It2" localSheetId="2">'7L3a'!$AI$7</definedName>
    <definedName name="homerun_It2" localSheetId="3">'7L3b'!$AI$7</definedName>
    <definedName name="homerun_PELI" localSheetId="2">'7L3a'!$J$22</definedName>
    <definedName name="homerun_PELI" localSheetId="3">'7L3b'!$J$22</definedName>
    <definedName name="homerun_R20c" localSheetId="2">'7L3a'!$J$21</definedName>
    <definedName name="homerun_R20c" localSheetId="3">'7L3b'!$J$21</definedName>
    <definedName name="homerun_tp" localSheetId="2">'7L3a'!$AI$22</definedName>
    <definedName name="homerun_tp" localSheetId="3">'7L3b'!$AI$22</definedName>
    <definedName name="homerun_Vd" localSheetId="2">'7L3a'!$J$20</definedName>
    <definedName name="homerun_Vd" localSheetId="3">'7L3b'!$J$20</definedName>
    <definedName name="homerun_Vd1" localSheetId="2">'7L3a'!$AI$8</definedName>
    <definedName name="homerun_Vd1" localSheetId="3">'7L3b'!$AI$8</definedName>
    <definedName name="homerun_Vd2" localSheetId="2">'7L3a'!$AI$9</definedName>
    <definedName name="homerun_Vd2" localSheetId="3">'7L3b'!$AI$9</definedName>
    <definedName name="homerun_Z1" localSheetId="2">'7L3a'!$AI$10</definedName>
    <definedName name="homerun_Z1" localSheetId="3">'7L3b'!$AI$10</definedName>
    <definedName name="homerun_Z2" localSheetId="2">'7L3a'!$AI$11</definedName>
    <definedName name="homerun_Z2" localSheetId="3">'7L3b'!$AI$11</definedName>
    <definedName name="Homerun_ZinstCPC" localSheetId="2">'7L3a'!$AI$13</definedName>
    <definedName name="Homerun_ZinstCPC" localSheetId="3">'7L3b'!$AI$13</definedName>
    <definedName name="Homerun_ZinstPH" localSheetId="2">'7L3a'!$AI$12</definedName>
    <definedName name="Homerun_ZinstPH" localSheetId="3">'7L3b'!$AI$12</definedName>
    <definedName name="In" localSheetId="2">'7L3a'!$D$29</definedName>
    <definedName name="In" localSheetId="3">'7L3b'!$D$29</definedName>
    <definedName name="Ipsc" localSheetId="2">'7L3a'!$D$17</definedName>
    <definedName name="Ipsc" localSheetId="3">'7L3b'!$D$17</definedName>
    <definedName name="Ipsc_Max_DB">Index!$C$18</definedName>
    <definedName name="Lum_A">'Luminaire Schedule'!$D$12</definedName>
    <definedName name="Lum_B">'Luminaire Schedule'!$D$13</definedName>
    <definedName name="Lum_C">'Luminaire Schedule'!$D$14</definedName>
    <definedName name="Lum_C2">'Luminaire Schedule'!$D$15</definedName>
    <definedName name="Lum_C3">'Luminaire Schedule'!$D$16</definedName>
    <definedName name="Lum_D">'Luminaire Schedule'!$D$17</definedName>
    <definedName name="Lum_EM">'Luminaire Schedule'!$D$18</definedName>
    <definedName name="Lum_EX">'Luminaire Schedule'!$D$19</definedName>
    <definedName name="Lum_EX2">'Luminaire Schedule'!$H$22</definedName>
    <definedName name="Lum_F">'Luminaire Schedule'!$D$20</definedName>
    <definedName name="Lum_G">'Luminaire Schedule'!$D$21</definedName>
    <definedName name="Lum_H1">'Luminaire Schedule'!$D$22</definedName>
    <definedName name="Lum_H2">'Luminaire Schedule'!$D$23</definedName>
    <definedName name="Lum_J">'Luminaire Schedule'!$D$24</definedName>
    <definedName name="Lum_K">'Luminaire Schedule'!$D$25</definedName>
    <definedName name="Lum_L">'Luminaire Schedule'!$D$26</definedName>
    <definedName name="Lum_M">'Luminaire Schedule'!$D$27</definedName>
    <definedName name="Lum_M2">'Luminaire Schedule'!$D$28</definedName>
    <definedName name="Lum_N">'Luminaire Schedule'!$D$29</definedName>
    <definedName name="Lum_P">'Luminaire Schedule'!$D$30</definedName>
    <definedName name="Lum_P1">'Luminaire Schedule'!$D$31</definedName>
    <definedName name="Lum_Q">'Luminaire Schedule'!$D$32</definedName>
    <definedName name="Lum_Q2">'Luminaire Schedule'!$D$33</definedName>
    <definedName name="Lum_R">'Luminaire Schedule'!$D$34</definedName>
    <definedName name="Lum_S">'Luminaire Schedule'!$D$35</definedName>
    <definedName name="Lum_T">'Luminaire Schedule'!$H$12</definedName>
    <definedName name="Lum_U">'Luminaire Schedule'!$H$13</definedName>
    <definedName name="Lum_V">'Luminaire Schedule'!$H$14</definedName>
    <definedName name="Lum_W">'Luminaire Schedule'!$H$15</definedName>
    <definedName name="Lum_W1">'Luminaire Schedule'!$H$16</definedName>
    <definedName name="Lum_W2">'Luminaire Schedule'!$H$17</definedName>
    <definedName name="Lum_W3">'Luminaire Schedule'!$H$18</definedName>
    <definedName name="Lum_Y">'Luminaire Schedule'!$H$19</definedName>
    <definedName name="Lum_Y2">'Luminaire Schedule'!$H$20</definedName>
    <definedName name="Max_CPD1" localSheetId="2">'7L3a'!$AI$43</definedName>
    <definedName name="Max_CPD1" localSheetId="3">'7L3b'!$AI$43</definedName>
    <definedName name="Max_CPD2" localSheetId="2">'7L3a'!$AI$44</definedName>
    <definedName name="Max_CPD2" localSheetId="3">'7L3b'!$AI$44</definedName>
    <definedName name="Max_VD" localSheetId="2">'7L3a'!$D$24</definedName>
    <definedName name="Max_VD" localSheetId="3">'7L3b'!$D$24</definedName>
    <definedName name="Max_VD_percent">Index!$C$12</definedName>
    <definedName name="mdb_Cg" localSheetId="2">'7L3a'!$AI$25</definedName>
    <definedName name="mdb_Cg" localSheetId="3">'7L3b'!$AI$25</definedName>
    <definedName name="mdb_CPD_R_Factor" localSheetId="2">'7L3a'!$AI$15</definedName>
    <definedName name="mdb_CPD_R_Factor" localSheetId="3">'7L3b'!$AI$15</definedName>
    <definedName name="nominal_V" localSheetId="2">'7L3a'!$D$22</definedName>
    <definedName name="nominal_V" localSheetId="3">'7L3b'!$D$22</definedName>
    <definedName name="Prep_By">Index!$H$6</definedName>
    <definedName name="_xlnm.Print_Area" localSheetId="2">'7L3a'!$A$1:$V$62</definedName>
    <definedName name="_xlnm.Print_Area" localSheetId="3">'7L3b'!$A$1:$V$62</definedName>
    <definedName name="_xlnm.Print_Area" localSheetId="0">Index!$A$1:$H$38</definedName>
    <definedName name="_xlnm.Print_Titles" localSheetId="2">'7L3a'!$1:$13</definedName>
    <definedName name="_xlnm.Print_Titles" localSheetId="3">'7L3b'!$1:$13</definedName>
    <definedName name="_xlnm.Print_Titles" localSheetId="0">Index!$1:$9</definedName>
    <definedName name="Project_Name">Index!$C$5</definedName>
    <definedName name="Project_No">Index!$C$6</definedName>
    <definedName name="SD_Cg" localSheetId="2">'7L3a'!$AK$27</definedName>
    <definedName name="SD_Cg" localSheetId="3">'7L3b'!$AK$27</definedName>
    <definedName name="SD_CPD_R_Factor" localSheetId="2">'7L3a'!$AK$15</definedName>
    <definedName name="SD_CPD_R_Factor" localSheetId="3">'7L3b'!$AK$15</definedName>
    <definedName name="SD_csa" localSheetId="2">'7L3a'!$J$49</definedName>
    <definedName name="SD_csa" localSheetId="3">'7L3b'!$J$49</definedName>
    <definedName name="SD_i_limit" localSheetId="2">'7L3a'!$AK$23</definedName>
    <definedName name="SD_i_limit" localSheetId="3">'7L3b'!$AK$23</definedName>
    <definedName name="SD_ins" localSheetId="2">'7L3a'!$J$50</definedName>
    <definedName name="SD_ins" localSheetId="3">'7L3b'!$J$50</definedName>
    <definedName name="SD_It" localSheetId="2">'7L3a'!$J$52</definedName>
    <definedName name="SD_It" localSheetId="3">'7L3b'!$J$52</definedName>
    <definedName name="SD_It1" localSheetId="2">'7L3a'!$AK$6</definedName>
    <definedName name="SD_It1" localSheetId="3">'7L3b'!$AK$6</definedName>
    <definedName name="SD_PELI" localSheetId="2">'7L3a'!$J$55</definedName>
    <definedName name="SD_PELI" localSheetId="3">'7L3b'!$J$55</definedName>
    <definedName name="SD_R20c" localSheetId="2">'7L3a'!$J$54</definedName>
    <definedName name="SD_R20c" localSheetId="3">'7L3b'!$J$54</definedName>
    <definedName name="SD_tp" localSheetId="2">'7L3a'!$AK$22</definedName>
    <definedName name="SD_tp" localSheetId="3">'7L3b'!$AK$22</definedName>
    <definedName name="SD_Vd" localSheetId="2">'7L3a'!$J$53</definedName>
    <definedName name="SD_Vd" localSheetId="3">'7L3b'!$J$53</definedName>
    <definedName name="SD_Vd1" localSheetId="2">'7L3a'!$AK$8</definedName>
    <definedName name="SD_Vd1" localSheetId="3">'7L3b'!$AK$8</definedName>
    <definedName name="SD_Z1" localSheetId="2">'7L3a'!$AK$10</definedName>
    <definedName name="SD_Z1" localSheetId="3">'7L3b'!$AK$10</definedName>
    <definedName name="SD_ZinstCPC" localSheetId="2">'7L3a'!$AK$13</definedName>
    <definedName name="SD_ZinstCPC" localSheetId="3">'7L3b'!$AK$13</definedName>
    <definedName name="SD_ZinstPH" localSheetId="2">'7L3a'!$AK$12</definedName>
    <definedName name="SD_ZinstPH" localSheetId="3">'7L3b'!$AK$12</definedName>
    <definedName name="Service">Index!$C$9</definedName>
    <definedName name="Source_Nominal_V">Index!$C$11</definedName>
    <definedName name="V_Source" localSheetId="2">'7L3a'!$D$16</definedName>
    <definedName name="V_Source" localSheetId="3">'7L3b'!$D$16</definedName>
    <definedName name="VD_L1">Index!$D$16</definedName>
    <definedName name="VD_L2">Index!$E$16</definedName>
    <definedName name="VD_L3">Index!$F$16</definedName>
    <definedName name="VD_Source" localSheetId="2">'7L3a'!$D$15</definedName>
    <definedName name="VD_Source" localSheetId="3">'7L3b'!$D$15</definedName>
    <definedName name="VDV_L1">Index!$D$17</definedName>
    <definedName name="VDV_L2">Index!$E$17</definedName>
    <definedName name="VDV_L3">Index!$F$17</definedName>
    <definedName name="Ze" localSheetId="2">'7L3a'!$D$18</definedName>
    <definedName name="Ze" localSheetId="3">'7L3b'!$D$18</definedName>
    <definedName name="Zinst_PHASE" localSheetId="2">'7L3a'!$AJ$20</definedName>
    <definedName name="Zinst_PHASE" localSheetId="3">'7L3b'!$AJ$20</definedName>
    <definedName name="Zs" localSheetId="2">'7L3a'!$AI$34</definedName>
    <definedName name="Zs" localSheetId="3">'7L3b'!$AI$34</definedName>
    <definedName name="Zs_DB">Index!$C$20</definedName>
  </definedNames>
  <calcPr calcId="125725"/>
</workbook>
</file>

<file path=xl/calcChain.xml><?xml version="1.0" encoding="utf-8"?>
<calcChain xmlns="http://schemas.openxmlformats.org/spreadsheetml/2006/main">
  <c r="AI27" i="56"/>
  <c r="AI26"/>
  <c r="AI25"/>
  <c r="AJ25"/>
  <c r="AJ26"/>
  <c r="AI27" i="57"/>
  <c r="O28" i="56"/>
  <c r="O27"/>
  <c r="O26"/>
  <c r="O25"/>
  <c r="O24"/>
  <c r="O23"/>
  <c r="O22"/>
  <c r="O21"/>
  <c r="O20"/>
  <c r="O19"/>
  <c r="AI10"/>
  <c r="J21" s="1"/>
  <c r="AI8"/>
  <c r="AI6"/>
  <c r="AJ10"/>
  <c r="J36" s="1"/>
  <c r="AJ8"/>
  <c r="F16" i="7"/>
  <c r="E16"/>
  <c r="O30" i="57"/>
  <c r="O28"/>
  <c r="O25"/>
  <c r="O26"/>
  <c r="O27"/>
  <c r="O23"/>
  <c r="O21"/>
  <c r="J49"/>
  <c r="AK8" s="1"/>
  <c r="J53" s="1"/>
  <c r="Z45"/>
  <c r="Y45"/>
  <c r="X45"/>
  <c r="U45"/>
  <c r="T45"/>
  <c r="R45"/>
  <c r="S45" s="1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S42" s="1"/>
  <c r="Q42"/>
  <c r="J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S39" s="1"/>
  <c r="Q39"/>
  <c r="B39"/>
  <c r="Z38"/>
  <c r="Y38"/>
  <c r="X38"/>
  <c r="U38"/>
  <c r="T38"/>
  <c r="R38"/>
  <c r="Q38"/>
  <c r="BE37"/>
  <c r="AP37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S35" s="1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J32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AI31"/>
  <c r="Z31"/>
  <c r="Y31"/>
  <c r="X31"/>
  <c r="U31"/>
  <c r="T31"/>
  <c r="R31"/>
  <c r="Q31"/>
  <c r="J31"/>
  <c r="BN30"/>
  <c r="BM30"/>
  <c r="BL30"/>
  <c r="BK30"/>
  <c r="BJ30"/>
  <c r="BI30"/>
  <c r="BI35" s="1"/>
  <c r="BH30"/>
  <c r="BH35" s="1"/>
  <c r="BG30"/>
  <c r="BF30"/>
  <c r="BF35" s="1"/>
  <c r="AY30"/>
  <c r="AX30"/>
  <c r="AW30"/>
  <c r="AV30"/>
  <c r="AU30"/>
  <c r="AT30"/>
  <c r="AS30"/>
  <c r="AR30"/>
  <c r="AQ30"/>
  <c r="Y30"/>
  <c r="X30"/>
  <c r="U30"/>
  <c r="T30"/>
  <c r="Q30"/>
  <c r="AY29"/>
  <c r="AX29"/>
  <c r="AW29"/>
  <c r="AV29"/>
  <c r="AU29"/>
  <c r="AT29"/>
  <c r="AS29"/>
  <c r="AR29"/>
  <c r="AQ29"/>
  <c r="Y29"/>
  <c r="X29"/>
  <c r="U29"/>
  <c r="T29"/>
  <c r="Q29"/>
  <c r="Y28"/>
  <c r="X28"/>
  <c r="U28"/>
  <c r="T28"/>
  <c r="AK26"/>
  <c r="AJ26"/>
  <c r="AK25"/>
  <c r="AJ25"/>
  <c r="AI25"/>
  <c r="J25"/>
  <c r="AK23"/>
  <c r="AJ23"/>
  <c r="AI23"/>
  <c r="AK22"/>
  <c r="J51" s="1"/>
  <c r="AJ22"/>
  <c r="J33" s="1"/>
  <c r="AI22"/>
  <c r="AI6" s="1"/>
  <c r="D22"/>
  <c r="N18"/>
  <c r="D57" s="1"/>
  <c r="D18"/>
  <c r="AK17"/>
  <c r="AJ17"/>
  <c r="D17"/>
  <c r="L12"/>
  <c r="C12"/>
  <c r="N11"/>
  <c r="L11"/>
  <c r="C11"/>
  <c r="AJ10"/>
  <c r="J36" s="1"/>
  <c r="AI10"/>
  <c r="J21" s="1"/>
  <c r="L10"/>
  <c r="C10"/>
  <c r="N10" s="1"/>
  <c r="AJ8"/>
  <c r="J35" s="1"/>
  <c r="U8"/>
  <c r="N8"/>
  <c r="L8"/>
  <c r="C8"/>
  <c r="G47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J49" i="56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S42" s="1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H35" s="1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AJ23"/>
  <c r="BN31"/>
  <c r="BM31"/>
  <c r="BL31"/>
  <c r="BK31"/>
  <c r="BJ31"/>
  <c r="BI31"/>
  <c r="BH31"/>
  <c r="BG31"/>
  <c r="BF31"/>
  <c r="AY31"/>
  <c r="AY35" s="1"/>
  <c r="AX31"/>
  <c r="AW31"/>
  <c r="AV31"/>
  <c r="AU31"/>
  <c r="AT31"/>
  <c r="AS31"/>
  <c r="AR31"/>
  <c r="AQ31"/>
  <c r="Z31"/>
  <c r="Y31"/>
  <c r="X31"/>
  <c r="U31"/>
  <c r="T31"/>
  <c r="R31"/>
  <c r="Q31"/>
  <c r="BN30"/>
  <c r="BN35" s="1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AY29"/>
  <c r="AX29"/>
  <c r="AW29"/>
  <c r="AV29"/>
  <c r="AU29"/>
  <c r="AT29"/>
  <c r="AS29"/>
  <c r="AR29"/>
  <c r="AQ29"/>
  <c r="AK26"/>
  <c r="AK27" s="1"/>
  <c r="AK29" s="1"/>
  <c r="AK25"/>
  <c r="J25"/>
  <c r="AI23"/>
  <c r="AI22"/>
  <c r="D22"/>
  <c r="N18"/>
  <c r="D57" s="1"/>
  <c r="D18"/>
  <c r="AK17"/>
  <c r="AJ17"/>
  <c r="D17"/>
  <c r="L12"/>
  <c r="N11"/>
  <c r="L11"/>
  <c r="C11"/>
  <c r="L10"/>
  <c r="C10"/>
  <c r="N10" s="1"/>
  <c r="U8"/>
  <c r="N8"/>
  <c r="L8"/>
  <c r="C8"/>
  <c r="D25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AI29" l="1"/>
  <c r="AI29" i="57"/>
  <c r="AI46"/>
  <c r="D15" s="1"/>
  <c r="D24" s="1"/>
  <c r="R51" s="1"/>
  <c r="P30"/>
  <c r="P29" s="1"/>
  <c r="P28" s="1"/>
  <c r="Q28" s="1"/>
  <c r="AJ27"/>
  <c r="AJ29" s="1"/>
  <c r="AY35"/>
  <c r="AU35"/>
  <c r="BN35"/>
  <c r="AR35"/>
  <c r="AI32" s="1"/>
  <c r="AQ35"/>
  <c r="BL35"/>
  <c r="BG35"/>
  <c r="AK27"/>
  <c r="AK29" s="1"/>
  <c r="AS35"/>
  <c r="AT35"/>
  <c r="BM35"/>
  <c r="AX35"/>
  <c r="BJ35"/>
  <c r="AW35"/>
  <c r="AV35"/>
  <c r="AK18"/>
  <c r="AK19" s="1"/>
  <c r="AK15" s="1"/>
  <c r="N12"/>
  <c r="AI18"/>
  <c r="AI19" s="1"/>
  <c r="AI15" s="1"/>
  <c r="AI8"/>
  <c r="J20" s="1"/>
  <c r="J18"/>
  <c r="AJ18"/>
  <c r="AJ19" s="1"/>
  <c r="AJ15" s="1"/>
  <c r="AJ12" s="1"/>
  <c r="BK35"/>
  <c r="AI36"/>
  <c r="U48" s="1"/>
  <c r="J19"/>
  <c r="AI33"/>
  <c r="S43"/>
  <c r="S31"/>
  <c r="AK10"/>
  <c r="BM35" i="56"/>
  <c r="S37" i="57"/>
  <c r="S44"/>
  <c r="BG35" i="56"/>
  <c r="S36" i="57"/>
  <c r="AK6"/>
  <c r="D25"/>
  <c r="S33"/>
  <c r="S41"/>
  <c r="AJ6"/>
  <c r="J58"/>
  <c r="S38"/>
  <c r="S40"/>
  <c r="S34"/>
  <c r="S32"/>
  <c r="AQ35" i="56"/>
  <c r="BF35"/>
  <c r="S39"/>
  <c r="G47"/>
  <c r="S35"/>
  <c r="AJ27"/>
  <c r="AJ29" s="1"/>
  <c r="AK22"/>
  <c r="J51" s="1"/>
  <c r="AK8"/>
  <c r="J53" s="1"/>
  <c r="AJ22"/>
  <c r="S45"/>
  <c r="J42"/>
  <c r="J35"/>
  <c r="P30"/>
  <c r="AW35"/>
  <c r="AI18"/>
  <c r="AI19" s="1"/>
  <c r="AI15" s="1"/>
  <c r="AU35"/>
  <c r="AS35"/>
  <c r="AT35"/>
  <c r="AX35"/>
  <c r="AV35"/>
  <c r="J20"/>
  <c r="BK35"/>
  <c r="AR35"/>
  <c r="AI32" s="1"/>
  <c r="BL35"/>
  <c r="BJ35"/>
  <c r="BI35"/>
  <c r="J18"/>
  <c r="AI36"/>
  <c r="U48" s="1"/>
  <c r="J19"/>
  <c r="S36"/>
  <c r="S40"/>
  <c r="C12"/>
  <c r="S32"/>
  <c r="AJ18"/>
  <c r="AJ19" s="1"/>
  <c r="AJ15" s="1"/>
  <c r="AJ12" s="1"/>
  <c r="AI33"/>
  <c r="AI34" s="1"/>
  <c r="D32" s="1"/>
  <c r="S31"/>
  <c r="AK23"/>
  <c r="S37"/>
  <c r="S44"/>
  <c r="J58"/>
  <c r="AK10"/>
  <c r="S33"/>
  <c r="S41"/>
  <c r="S43"/>
  <c r="S38"/>
  <c r="S34"/>
  <c r="AK6" l="1"/>
  <c r="J52" s="1"/>
  <c r="J33"/>
  <c r="AJ6"/>
  <c r="AI47" i="57"/>
  <c r="D16" s="1"/>
  <c r="P29" i="56"/>
  <c r="P28" s="1"/>
  <c r="P27" s="1"/>
  <c r="P26" s="1"/>
  <c r="P25" s="1"/>
  <c r="P24" s="1"/>
  <c r="P23" s="1"/>
  <c r="P22" s="1"/>
  <c r="P21" s="1"/>
  <c r="P20" s="1"/>
  <c r="P19" s="1"/>
  <c r="P18" s="1"/>
  <c r="D56" s="1"/>
  <c r="Q30"/>
  <c r="P27" i="57"/>
  <c r="P26" s="1"/>
  <c r="P25" s="1"/>
  <c r="P24" s="1"/>
  <c r="P23" s="1"/>
  <c r="P22" s="1"/>
  <c r="P21" s="1"/>
  <c r="P20" s="1"/>
  <c r="P19" s="1"/>
  <c r="P18" s="1"/>
  <c r="D56" s="1"/>
  <c r="AI12"/>
  <c r="AI13" s="1"/>
  <c r="J22" s="1"/>
  <c r="T18" s="1"/>
  <c r="X18" s="1"/>
  <c r="U18"/>
  <c r="U19" s="1"/>
  <c r="Y19" s="1"/>
  <c r="AI34"/>
  <c r="D32" s="1"/>
  <c r="J34"/>
  <c r="AJ37"/>
  <c r="U49" s="1"/>
  <c r="AK38"/>
  <c r="U50" s="1"/>
  <c r="J52"/>
  <c r="J54"/>
  <c r="AK12"/>
  <c r="AJ13"/>
  <c r="J37" s="1"/>
  <c r="AK18" i="56"/>
  <c r="AK19" s="1"/>
  <c r="AK15" s="1"/>
  <c r="AK12" s="1"/>
  <c r="AI12"/>
  <c r="AI13" s="1"/>
  <c r="J22" s="1"/>
  <c r="T18" s="1"/>
  <c r="X18" s="1"/>
  <c r="U18"/>
  <c r="U19" s="1"/>
  <c r="AJ13"/>
  <c r="J37" s="1"/>
  <c r="N12"/>
  <c r="AI46"/>
  <c r="J54"/>
  <c r="AK38" l="1"/>
  <c r="U50" s="1"/>
  <c r="Q24"/>
  <c r="Q22"/>
  <c r="Q23"/>
  <c r="Q18"/>
  <c r="R18" s="1"/>
  <c r="S18" s="1"/>
  <c r="Z18" s="1"/>
  <c r="Q27"/>
  <c r="Q19"/>
  <c r="Q21"/>
  <c r="Q20"/>
  <c r="Q26"/>
  <c r="Q28"/>
  <c r="Q29"/>
  <c r="Q25"/>
  <c r="Q24" i="57"/>
  <c r="Q25"/>
  <c r="Q27"/>
  <c r="Q26"/>
  <c r="Q23"/>
  <c r="Q21"/>
  <c r="Q18"/>
  <c r="Q22"/>
  <c r="Q20"/>
  <c r="Q19"/>
  <c r="U20"/>
  <c r="U21" s="1"/>
  <c r="T19"/>
  <c r="X19" s="1"/>
  <c r="Y18"/>
  <c r="AQ58"/>
  <c r="AQ75" s="1"/>
  <c r="AQ59"/>
  <c r="AS75" s="1"/>
  <c r="AJ37" i="56"/>
  <c r="U49" s="1"/>
  <c r="J34"/>
  <c r="AK13" i="57"/>
  <c r="J55" s="1"/>
  <c r="AS67"/>
  <c r="AS65"/>
  <c r="AS70"/>
  <c r="AS71"/>
  <c r="AQ73"/>
  <c r="AQ68"/>
  <c r="AQ65"/>
  <c r="AQ71"/>
  <c r="Y18" i="56"/>
  <c r="AQ58"/>
  <c r="AQ65" s="1"/>
  <c r="T19"/>
  <c r="T20" s="1"/>
  <c r="Y19"/>
  <c r="AQ59"/>
  <c r="U20"/>
  <c r="AK13"/>
  <c r="J55" s="1"/>
  <c r="D15"/>
  <c r="D24" s="1"/>
  <c r="R51" s="1"/>
  <c r="AI47"/>
  <c r="D16" s="1"/>
  <c r="D60" l="1"/>
  <c r="D61" s="1"/>
  <c r="D60" i="57"/>
  <c r="AI39" s="1"/>
  <c r="U51" s="1"/>
  <c r="R18"/>
  <c r="S18" s="1"/>
  <c r="Z18" s="1"/>
  <c r="AS73"/>
  <c r="AS69"/>
  <c r="AQ70"/>
  <c r="AS68"/>
  <c r="Y20"/>
  <c r="AS66"/>
  <c r="T20"/>
  <c r="AQ74"/>
  <c r="AS64"/>
  <c r="J38"/>
  <c r="AS63"/>
  <c r="AS76" s="1"/>
  <c r="J40" s="1"/>
  <c r="AI42" s="1"/>
  <c r="J43" s="1"/>
  <c r="AQ69"/>
  <c r="AQ72"/>
  <c r="AQ67"/>
  <c r="AQ64"/>
  <c r="AS74"/>
  <c r="AQ66"/>
  <c r="AQ63"/>
  <c r="AQ76" s="1"/>
  <c r="J24" s="1"/>
  <c r="AI41" s="1"/>
  <c r="J26" s="1"/>
  <c r="AS72"/>
  <c r="J23"/>
  <c r="X20"/>
  <c r="T21"/>
  <c r="Y21"/>
  <c r="U22"/>
  <c r="AQ63" i="56"/>
  <c r="AQ68"/>
  <c r="R19"/>
  <c r="R20" s="1"/>
  <c r="X19"/>
  <c r="AQ69"/>
  <c r="AQ66"/>
  <c r="AQ67"/>
  <c r="J23"/>
  <c r="AQ71"/>
  <c r="AQ75"/>
  <c r="AQ64"/>
  <c r="AQ73"/>
  <c r="AQ74"/>
  <c r="AQ72"/>
  <c r="AQ70"/>
  <c r="AS66"/>
  <c r="AS72"/>
  <c r="AS69"/>
  <c r="AS74"/>
  <c r="AS75"/>
  <c r="AS71"/>
  <c r="AS67"/>
  <c r="AS65"/>
  <c r="AS64"/>
  <c r="J38"/>
  <c r="AS73"/>
  <c r="AS63"/>
  <c r="AS70"/>
  <c r="AS68"/>
  <c r="X20"/>
  <c r="T21"/>
  <c r="Y20"/>
  <c r="U21"/>
  <c r="AI39" l="1"/>
  <c r="U51" s="1"/>
  <c r="D61" i="57"/>
  <c r="R19"/>
  <c r="R20" s="1"/>
  <c r="S20" s="1"/>
  <c r="T22"/>
  <c r="X21"/>
  <c r="Y22"/>
  <c r="U23"/>
  <c r="AQ76" i="56"/>
  <c r="J24" s="1"/>
  <c r="AI41" s="1"/>
  <c r="J26" s="1"/>
  <c r="S19"/>
  <c r="Z19" s="1"/>
  <c r="T22"/>
  <c r="X21"/>
  <c r="Y21"/>
  <c r="U22"/>
  <c r="AS76"/>
  <c r="J40" s="1"/>
  <c r="AI42" s="1"/>
  <c r="J43" s="1"/>
  <c r="S20"/>
  <c r="R21"/>
  <c r="R21" i="57" l="1"/>
  <c r="R22" s="1"/>
  <c r="S19"/>
  <c r="Z19" s="1"/>
  <c r="Y23"/>
  <c r="U24"/>
  <c r="T23"/>
  <c r="X22"/>
  <c r="Z20" i="56"/>
  <c r="X22"/>
  <c r="T23"/>
  <c r="S21"/>
  <c r="Z21" s="1"/>
  <c r="R22"/>
  <c r="Y22"/>
  <c r="U23"/>
  <c r="S21" i="57" l="1"/>
  <c r="Z21" s="1"/>
  <c r="Z20"/>
  <c r="Y24"/>
  <c r="U25"/>
  <c r="X23"/>
  <c r="T24"/>
  <c r="S22"/>
  <c r="R23"/>
  <c r="X23" i="56"/>
  <c r="T24"/>
  <c r="S22"/>
  <c r="Z22" s="1"/>
  <c r="R23"/>
  <c r="Y23"/>
  <c r="U24"/>
  <c r="Z22" i="57" l="1"/>
  <c r="Y25"/>
  <c r="U26"/>
  <c r="X24"/>
  <c r="T25"/>
  <c r="S23"/>
  <c r="Z23" s="1"/>
  <c r="R24"/>
  <c r="S23" i="56"/>
  <c r="Z23" s="1"/>
  <c r="R24"/>
  <c r="Y24"/>
  <c r="U25"/>
  <c r="T25"/>
  <c r="X24"/>
  <c r="Y26" i="57" l="1"/>
  <c r="U27"/>
  <c r="Y27" s="1"/>
  <c r="X25"/>
  <c r="T26"/>
  <c r="S24"/>
  <c r="Z24" s="1"/>
  <c r="R25"/>
  <c r="S24" i="56"/>
  <c r="Z24" s="1"/>
  <c r="R25"/>
  <c r="T26"/>
  <c r="X25"/>
  <c r="Y25"/>
  <c r="U26"/>
  <c r="Y46" i="57" l="1"/>
  <c r="D59" s="1"/>
  <c r="T27"/>
  <c r="X27" s="1"/>
  <c r="X46" s="1"/>
  <c r="D58" s="1"/>
  <c r="AI40" s="1"/>
  <c r="U52" s="1"/>
  <c r="X26"/>
  <c r="S25"/>
  <c r="Z25" s="1"/>
  <c r="R26"/>
  <c r="X26" i="56"/>
  <c r="T27"/>
  <c r="S25"/>
  <c r="Z25" s="1"/>
  <c r="R26"/>
  <c r="Y26"/>
  <c r="U27"/>
  <c r="AQ60" i="57" l="1"/>
  <c r="AU68" s="1"/>
  <c r="S26"/>
  <c r="Z26" s="1"/>
  <c r="R27"/>
  <c r="X27" i="56"/>
  <c r="T28"/>
  <c r="S26"/>
  <c r="Z26" s="1"/>
  <c r="R27"/>
  <c r="Y27"/>
  <c r="U28"/>
  <c r="S27" i="57" l="1"/>
  <c r="Z27" s="1"/>
  <c r="R28"/>
  <c r="AU71"/>
  <c r="AU69"/>
  <c r="AU66"/>
  <c r="AU75"/>
  <c r="AU74"/>
  <c r="J39"/>
  <c r="AU64"/>
  <c r="AU72"/>
  <c r="AU67"/>
  <c r="AU70"/>
  <c r="AU65"/>
  <c r="AQ61"/>
  <c r="J56" s="1"/>
  <c r="AU73"/>
  <c r="AU63"/>
  <c r="X28" i="56"/>
  <c r="T29"/>
  <c r="S27"/>
  <c r="Z27" s="1"/>
  <c r="R28"/>
  <c r="Y28"/>
  <c r="U29"/>
  <c r="X29" l="1"/>
  <c r="T30"/>
  <c r="X30" s="1"/>
  <c r="Y29"/>
  <c r="U30"/>
  <c r="Y30" s="1"/>
  <c r="S28" i="57"/>
  <c r="Z28" s="1"/>
  <c r="R29"/>
  <c r="AU76"/>
  <c r="J57" s="1"/>
  <c r="AI44" s="1"/>
  <c r="J59" s="1"/>
  <c r="S28" i="56"/>
  <c r="Z28" s="1"/>
  <c r="R29"/>
  <c r="Y46" l="1"/>
  <c r="AQ60" s="1"/>
  <c r="AU63" s="1"/>
  <c r="X46"/>
  <c r="D58" s="1"/>
  <c r="AI40" s="1"/>
  <c r="U52" s="1"/>
  <c r="S29"/>
  <c r="Z29" s="1"/>
  <c r="R30"/>
  <c r="S30" s="1"/>
  <c r="R30" i="57"/>
  <c r="S30" s="1"/>
  <c r="Z30" s="1"/>
  <c r="S29"/>
  <c r="Z29" s="1"/>
  <c r="J41"/>
  <c r="AI43" s="1"/>
  <c r="J44" s="1"/>
  <c r="AU72" i="56" l="1"/>
  <c r="AU67"/>
  <c r="J39"/>
  <c r="AQ61"/>
  <c r="J56" s="1"/>
  <c r="AU73"/>
  <c r="AU64"/>
  <c r="AU68"/>
  <c r="D59"/>
  <c r="AU71"/>
  <c r="AU70"/>
  <c r="AU65"/>
  <c r="AU66"/>
  <c r="AU74"/>
  <c r="AU69"/>
  <c r="AU75"/>
  <c r="Z30"/>
  <c r="Z46" s="1"/>
  <c r="Z46" i="57"/>
  <c r="AU76" i="56" l="1"/>
  <c r="J57" s="1"/>
  <c r="AI44" s="1"/>
  <c r="J59" s="1"/>
  <c r="J41" l="1"/>
  <c r="AI43" s="1"/>
  <c r="J44" s="1"/>
  <c r="F17" i="7"/>
  <c r="E17"/>
  <c r="D17"/>
  <c r="AI48" i="56" l="1"/>
  <c r="AI48" i="57"/>
  <c r="D19" i="38"/>
  <c r="C9"/>
  <c r="C8"/>
  <c r="C7"/>
  <c r="C6"/>
  <c r="G5"/>
  <c r="C5"/>
  <c r="G4"/>
  <c r="A4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sharedStrings.xml><?xml version="1.0" encoding="utf-8"?>
<sst xmlns="http://schemas.openxmlformats.org/spreadsheetml/2006/main" count="762" uniqueCount="256">
  <si>
    <t>Tabulated Zs Figures for 5 Second Disconnection Time</t>
  </si>
  <si>
    <t>Tabulated Zs Figures for 0.4 Second Disconnection Time</t>
  </si>
  <si>
    <r>
      <t>I</t>
    </r>
    <r>
      <rPr>
        <vertAlign val="subscript"/>
        <sz val="12"/>
        <rFont val="Verdana"/>
        <family val="2"/>
      </rPr>
      <t>n</t>
    </r>
  </si>
  <si>
    <t>Type</t>
  </si>
  <si>
    <t>BS 7671</t>
  </si>
  <si>
    <t>ABB</t>
  </si>
  <si>
    <t>Crabtree</t>
  </si>
  <si>
    <t>Dorman</t>
  </si>
  <si>
    <t>Hager</t>
  </si>
  <si>
    <t>MEM</t>
  </si>
  <si>
    <t>Schneider</t>
  </si>
  <si>
    <t>Siemens</t>
  </si>
  <si>
    <t>Square D</t>
  </si>
  <si>
    <t>CIRCUIT  CALCULATION  SHEET:</t>
  </si>
  <si>
    <t>Prepared By:</t>
  </si>
  <si>
    <t>Short-Circuit Withstand</t>
  </si>
  <si>
    <t>Project Name:</t>
  </si>
  <si>
    <t>Service:</t>
  </si>
  <si>
    <t>Date Prepared:</t>
  </si>
  <si>
    <t>Is Ipsc trip time &gt; 0.1s</t>
  </si>
  <si>
    <t>6A</t>
  </si>
  <si>
    <t>B</t>
  </si>
  <si>
    <t>Project Nº:</t>
  </si>
  <si>
    <t>DB Ref:</t>
  </si>
  <si>
    <t>Revision:</t>
  </si>
  <si>
    <t>If YES, then I²S² from ABB required</t>
  </si>
  <si>
    <t>HOMERUN</t>
  </si>
  <si>
    <t>EXTENDER</t>
  </si>
  <si>
    <t>SERVICE DROP</t>
  </si>
  <si>
    <t>"</t>
  </si>
  <si>
    <t>C</t>
  </si>
  <si>
    <t>Area/Zone/Level:</t>
  </si>
  <si>
    <t>MDB Nº:</t>
  </si>
  <si>
    <t>Checked By:</t>
  </si>
  <si>
    <t>K²S²&gt;A²s</t>
  </si>
  <si>
    <t>It (Tab):</t>
  </si>
  <si>
    <t>D</t>
  </si>
  <si>
    <t>Drawing Nº:</t>
  </si>
  <si>
    <t>Circuit Ref:</t>
  </si>
  <si>
    <t>Establish the typical range of A²s from ABB for the range of Ipsc</t>
  </si>
  <si>
    <t>10A</t>
  </si>
  <si>
    <t>Voltage Drop (Tab):</t>
  </si>
  <si>
    <t>RESULTS SUMMARY</t>
  </si>
  <si>
    <t>Nominal Voltage (V):</t>
  </si>
  <si>
    <t>V</t>
  </si>
  <si>
    <t>Voltage Drop:</t>
  </si>
  <si>
    <t>%</t>
  </si>
  <si>
    <t>Load:</t>
  </si>
  <si>
    <t>R@20²C (Tab):</t>
  </si>
  <si>
    <t>16A</t>
  </si>
  <si>
    <t>Homerun Cable Length:</t>
  </si>
  <si>
    <t>m</t>
  </si>
  <si>
    <t>Actual Voltage:</t>
  </si>
  <si>
    <t>Length:</t>
  </si>
  <si>
    <t>Max VD:</t>
  </si>
  <si>
    <t>Fault Current @ DB (Ipsc):</t>
  </si>
  <si>
    <t>A</t>
  </si>
  <si>
    <t>Zs:</t>
  </si>
  <si>
    <t>Final Voltage:</t>
  </si>
  <si>
    <t>Zinst_PHASE:</t>
  </si>
  <si>
    <t>Disconnection Time:</t>
  </si>
  <si>
    <t>s</t>
  </si>
  <si>
    <t>External  P/E Loop (Ze):</t>
  </si>
  <si>
    <t>Ω</t>
  </si>
  <si>
    <t>Ipsc:</t>
  </si>
  <si>
    <t>Zinst_CPC:</t>
  </si>
  <si>
    <t>20A</t>
  </si>
  <si>
    <t>CIRCUIT PROTECTIVE DEVICE (CPD):</t>
  </si>
  <si>
    <t>CABLE</t>
  </si>
  <si>
    <t>LENGTH</t>
  </si>
  <si>
    <t>LOAD (A)</t>
  </si>
  <si>
    <t>VOLTAGE DROP (V)</t>
  </si>
  <si>
    <t>Zs</t>
  </si>
  <si>
    <t>Ipsc</t>
  </si>
  <si>
    <t>CPD_R_Factor:</t>
  </si>
  <si>
    <t>Rating (In):</t>
  </si>
  <si>
    <t>TYPE</t>
  </si>
  <si>
    <t>LEG</t>
  </si>
  <si>
    <t>Metres</t>
  </si>
  <si>
    <t>Per Leg</t>
  </si>
  <si>
    <t>Total</t>
  </si>
  <si>
    <t>(A)</t>
  </si>
  <si>
    <t>%VoltDrop</t>
  </si>
  <si>
    <t>25A</t>
  </si>
  <si>
    <t>Type (MCB Only):</t>
  </si>
  <si>
    <t>Home Run</t>
  </si>
  <si>
    <t>-</t>
  </si>
  <si>
    <t>Ambient T (IEE GN5 Table B1):</t>
  </si>
  <si>
    <t>Manufacturer:</t>
  </si>
  <si>
    <t>Temp Factor F (IEE GN5 Table B2):</t>
  </si>
  <si>
    <t>Tabulated Zs:</t>
  </si>
  <si>
    <t>Total Factor:</t>
  </si>
  <si>
    <t>32A</t>
  </si>
  <si>
    <t>Nº of Circuits per MDB:</t>
  </si>
  <si>
    <t>Insulation Working Temp (tp):</t>
  </si>
  <si>
    <t>°c</t>
  </si>
  <si>
    <t>CSA:</t>
  </si>
  <si>
    <t>mm²</t>
  </si>
  <si>
    <t>Insulation Final Limit Temp:</t>
  </si>
  <si>
    <t>Insulation:</t>
  </si>
  <si>
    <t>XL-LSFZH</t>
  </si>
  <si>
    <t>Rating (It):</t>
  </si>
  <si>
    <t>Grouping Factor:</t>
  </si>
  <si>
    <t>Volt Drop (R):</t>
  </si>
  <si>
    <t>mV/A/m</t>
  </si>
  <si>
    <t>R @ 20°c:</t>
  </si>
  <si>
    <t>Ω/kM</t>
  </si>
  <si>
    <t>Cg:</t>
  </si>
  <si>
    <t>Phase-Earth Loop Impedance:</t>
  </si>
  <si>
    <r>
      <t xml:space="preserve">It </t>
    </r>
    <r>
      <rPr>
        <b/>
        <sz val="8"/>
        <rFont val="Arial"/>
        <family val="2"/>
      </rPr>
      <t>≥</t>
    </r>
  </si>
  <si>
    <t>I²t or A²s:</t>
  </si>
  <si>
    <t>K²S²:</t>
  </si>
  <si>
    <t>CPD:</t>
  </si>
  <si>
    <t>K²S²&gt;I²t or A²s:</t>
  </si>
  <si>
    <t>5 Sec</t>
  </si>
  <si>
    <t>0.4 Sec</t>
  </si>
  <si>
    <t>KEY:</t>
  </si>
  <si>
    <t>CIRCUIT CHECK:</t>
  </si>
  <si>
    <t>OK</t>
  </si>
  <si>
    <t>Nº of Circuits/Cables:</t>
  </si>
  <si>
    <t>Homerun Overload Protection:</t>
  </si>
  <si>
    <t>CPD</t>
  </si>
  <si>
    <t>Extender Overload Protection:</t>
  </si>
  <si>
    <t>Pass/Fail MDB Cg:</t>
  </si>
  <si>
    <t>SD/RL Overload Protection:</t>
  </si>
  <si>
    <t>Pass/Fail Extender Cg:</t>
  </si>
  <si>
    <t>Pass/Fail SD Cg:</t>
  </si>
  <si>
    <t>Calculated Zs less than Tab Zs:</t>
  </si>
  <si>
    <t>Pass/Fail VD:</t>
  </si>
  <si>
    <t>ü</t>
  </si>
  <si>
    <t>NOTES:</t>
  </si>
  <si>
    <t>Pass/Fail Zs:</t>
  </si>
  <si>
    <t>û</t>
  </si>
  <si>
    <t>20A Type C</t>
  </si>
  <si>
    <t>10A Type C</t>
  </si>
  <si>
    <t>1.  Based upon Ambient Temperature of 30°C.</t>
  </si>
  <si>
    <t>Pass/Fail Home-Run Ipsc:</t>
  </si>
  <si>
    <t>A²s</t>
  </si>
  <si>
    <t>Ipsc Max:</t>
  </si>
  <si>
    <t>Pass/Fail Extender Max Ipsc:</t>
  </si>
  <si>
    <t>Ipsc Min:</t>
  </si>
  <si>
    <t>3.  Ipsc vaule @ source based upon Transformer Supply (max figure).</t>
  </si>
  <si>
    <t>Pass/Fail Extender Min Ipsc:</t>
  </si>
  <si>
    <t>I²t or A²s Max:</t>
  </si>
  <si>
    <t>Pass/Fail SD Ipsc:</t>
  </si>
  <si>
    <t>I²t or A²s Min:</t>
  </si>
  <si>
    <t>K²S²&gt;I²t or A²s Max:</t>
  </si>
  <si>
    <t>K²S²&gt;I²t or A²s Min:</t>
  </si>
  <si>
    <t>LSFZH</t>
  </si>
  <si>
    <t>Home-Run:</t>
  </si>
  <si>
    <t>Extender Max:</t>
  </si>
  <si>
    <t>Extender Min:</t>
  </si>
  <si>
    <t>SD:</t>
  </si>
  <si>
    <t>Home-Run</t>
  </si>
  <si>
    <t>Extender Max</t>
  </si>
  <si>
    <t>Extender Min</t>
  </si>
  <si>
    <t>Value:</t>
  </si>
  <si>
    <r>
      <t>(</t>
    </r>
    <r>
      <rPr>
        <sz val="8"/>
        <rFont val="Symbol"/>
        <family val="1"/>
        <charset val="2"/>
      </rPr>
      <t>W</t>
    </r>
    <r>
      <rPr>
        <sz val="8"/>
        <rFont val="Verdana"/>
        <family val="2"/>
      </rPr>
      <t>)</t>
    </r>
  </si>
  <si>
    <t>CIRCUIT INPUT DATA:</t>
  </si>
  <si>
    <t>Thermal Withstand Model</t>
  </si>
  <si>
    <t>Date:</t>
  </si>
  <si>
    <t>By:</t>
  </si>
  <si>
    <t>Cable Calculation Index</t>
  </si>
  <si>
    <t>MDB Nº</t>
  </si>
  <si>
    <t>Notes:</t>
  </si>
  <si>
    <t>1.</t>
  </si>
  <si>
    <t>Where conntection points/outlets are located within the Ceiling Void (CV), no Service Drop (SD) is shown.</t>
  </si>
  <si>
    <t>Nominal Voltage:</t>
  </si>
  <si>
    <t>Max Volt Drop:</t>
  </si>
  <si>
    <t>Ref</t>
  </si>
  <si>
    <t>Lamp Rating</t>
  </si>
  <si>
    <t>QTY                  Lamps</t>
  </si>
  <si>
    <t>Total Load</t>
  </si>
  <si>
    <t>L1</t>
  </si>
  <si>
    <t>L2</t>
  </si>
  <si>
    <t>L3</t>
  </si>
  <si>
    <t>N</t>
  </si>
  <si>
    <t>P</t>
  </si>
  <si>
    <t>Q</t>
  </si>
  <si>
    <t>R</t>
  </si>
  <si>
    <t>Lighting</t>
  </si>
  <si>
    <t>N Holmes</t>
  </si>
  <si>
    <t>2.  Zs vaule @ source based upon Transfomrer Supply.</t>
  </si>
  <si>
    <t>4.  Thermal-Withstand current levels taken at MDB, end of 1st Extender &amp; end of circuit leg.</t>
  </si>
  <si>
    <r>
      <t>D</t>
    </r>
    <r>
      <rPr>
        <sz val="8"/>
        <rFont val="Verdana"/>
        <family val="2"/>
      </rPr>
      <t xml:space="preserve"> = Service or Switch Drop</t>
    </r>
  </si>
  <si>
    <t>Distribution Board Data</t>
  </si>
  <si>
    <t>Ipsc (Max):</t>
  </si>
  <si>
    <t>Ipsc (Min):</t>
  </si>
  <si>
    <t>Supply Voltage Drop:</t>
  </si>
  <si>
    <t>HOMERUN CABLE:</t>
  </si>
  <si>
    <t>DISTRIBUTION BOARD:</t>
  </si>
  <si>
    <t>CIRCUIT DESIGN:</t>
  </si>
  <si>
    <t>SERVICE DROP CABLE:</t>
  </si>
  <si>
    <t xml:space="preserve"> Circuit Ref</t>
  </si>
  <si>
    <t>Legs</t>
  </si>
  <si>
    <r>
      <t>A</t>
    </r>
    <r>
      <rPr>
        <sz val="8"/>
        <rFont val="Verdana"/>
        <family val="2"/>
      </rPr>
      <t xml:space="preserve"> = Armoured Extender Cable </t>
    </r>
    <r>
      <rPr>
        <b/>
        <sz val="8"/>
        <rFont val="Verdana"/>
        <family val="2"/>
      </rPr>
      <t/>
    </r>
  </si>
  <si>
    <r>
      <t>U</t>
    </r>
    <r>
      <rPr>
        <sz val="8"/>
        <rFont val="Verdana"/>
        <family val="2"/>
      </rPr>
      <t xml:space="preserve"> = Armoured Extender Cable </t>
    </r>
  </si>
  <si>
    <r>
      <t>F</t>
    </r>
    <r>
      <rPr>
        <sz val="8"/>
        <rFont val="Verdana"/>
        <family val="2"/>
      </rPr>
      <t xml:space="preserve"> = Flying Lead</t>
    </r>
  </si>
  <si>
    <r>
      <t>S</t>
    </r>
    <r>
      <rPr>
        <sz val="8"/>
        <rFont val="Verdana"/>
        <family val="2"/>
      </rPr>
      <t xml:space="preserve"> = Splitter/Tee</t>
    </r>
  </si>
  <si>
    <t>F</t>
  </si>
  <si>
    <t>ARMOURED EXTENDER CABLE:</t>
  </si>
  <si>
    <t>SWITCH DROP/UN-ARMOURED CABLE:</t>
  </si>
  <si>
    <t>U</t>
  </si>
  <si>
    <t>Fife New Hospital-Joint Venture</t>
  </si>
  <si>
    <t>Fife-JV</t>
  </si>
  <si>
    <t>Level 00 - DB Zone E1|0|BL</t>
  </si>
  <si>
    <t>Operating Temperature (tp):</t>
  </si>
  <si>
    <t>°</t>
  </si>
  <si>
    <t>G</t>
  </si>
  <si>
    <t>H1</t>
  </si>
  <si>
    <t>H2</t>
  </si>
  <si>
    <t>J</t>
  </si>
  <si>
    <t>K</t>
  </si>
  <si>
    <t>L</t>
  </si>
  <si>
    <t>M</t>
  </si>
  <si>
    <t>S</t>
  </si>
  <si>
    <t>P1</t>
  </si>
  <si>
    <t>W1</t>
  </si>
  <si>
    <t>W2</t>
  </si>
  <si>
    <t>EX</t>
  </si>
  <si>
    <t>EM</t>
  </si>
  <si>
    <t>2+1</t>
  </si>
  <si>
    <t>W3</t>
  </si>
  <si>
    <t>Y</t>
  </si>
  <si>
    <t>Y2</t>
  </si>
  <si>
    <t>C2</t>
  </si>
  <si>
    <t>C3</t>
  </si>
  <si>
    <t>M2</t>
  </si>
  <si>
    <t>T</t>
  </si>
  <si>
    <t>Q2</t>
  </si>
  <si>
    <t>L03</t>
  </si>
  <si>
    <t>a - b</t>
  </si>
  <si>
    <t>Modular Systems +</t>
  </si>
  <si>
    <t>Fife New Hospital Joint Venture</t>
  </si>
  <si>
    <r>
      <rPr>
        <b/>
        <sz val="12"/>
        <rFont val="Encino"/>
      </rPr>
      <t>The</t>
    </r>
    <r>
      <rPr>
        <b/>
        <sz val="12"/>
        <color indexed="12"/>
        <rFont val="Encino"/>
      </rPr>
      <t xml:space="preserve"> </t>
    </r>
    <r>
      <rPr>
        <b/>
        <sz val="12"/>
        <color rgb="FFFF0000"/>
        <rFont val="Encino"/>
      </rPr>
      <t>ARK</t>
    </r>
    <r>
      <rPr>
        <b/>
        <sz val="12"/>
        <color indexed="12"/>
        <rFont val="Encino"/>
      </rPr>
      <t xml:space="preserve"> Electrical </t>
    </r>
    <r>
      <rPr>
        <b/>
        <sz val="12"/>
        <rFont val="Encino"/>
      </rPr>
      <t>Design Co.</t>
    </r>
  </si>
  <si>
    <t>MW502</t>
  </si>
  <si>
    <t>L01</t>
  </si>
  <si>
    <t>1L1</t>
  </si>
  <si>
    <t>a</t>
  </si>
  <si>
    <t>CD-MS-02-L(62)1-XX-006</t>
  </si>
  <si>
    <t>7L3</t>
  </si>
  <si>
    <t>Supply Voltage:</t>
  </si>
  <si>
    <t>UCVD May 2010 V4.3</t>
  </si>
  <si>
    <t>C1</t>
  </si>
  <si>
    <t>26.06.10</t>
  </si>
  <si>
    <r>
      <t xml:space="preserve">© </t>
    </r>
    <r>
      <rPr>
        <b/>
        <sz val="9"/>
        <rFont val="Encino"/>
      </rPr>
      <t xml:space="preserve">The </t>
    </r>
    <r>
      <rPr>
        <b/>
        <sz val="9"/>
        <color indexed="10"/>
        <rFont val="Encino"/>
      </rPr>
      <t>ARK</t>
    </r>
    <r>
      <rPr>
        <b/>
        <sz val="9"/>
        <rFont val="Encino"/>
      </rPr>
      <t xml:space="preserve"> </t>
    </r>
    <r>
      <rPr>
        <b/>
        <sz val="9"/>
        <color indexed="12"/>
        <rFont val="Encino"/>
      </rPr>
      <t>Electrical</t>
    </r>
    <r>
      <rPr>
        <b/>
        <sz val="9"/>
        <rFont val="Encino"/>
      </rPr>
      <t xml:space="preserve"> Design Co.</t>
    </r>
  </si>
  <si>
    <t>L02</t>
  </si>
  <si>
    <t>W</t>
  </si>
  <si>
    <t>5L1</t>
  </si>
  <si>
    <t>5L2</t>
  </si>
  <si>
    <t>06</t>
  </si>
  <si>
    <t>EX2</t>
  </si>
  <si>
    <t>E5|1|AL</t>
  </si>
  <si>
    <t>HAGER</t>
  </si>
  <si>
    <t>FEEDER CABLE:</t>
  </si>
  <si>
    <t>FEEDER</t>
  </si>
</sst>
</file>

<file path=xl/styles.xml><?xml version="1.0" encoding="utf-8"?>
<styleSheet xmlns="http://schemas.openxmlformats.org/spreadsheetml/2006/main">
  <numFmts count="12">
    <numFmt numFmtId="164" formatCode="0.0"/>
    <numFmt numFmtId="165" formatCode="0.000"/>
    <numFmt numFmtId="166" formatCode="0.0000"/>
    <numFmt numFmtId="167" formatCode="0\ \A"/>
    <numFmt numFmtId="168" formatCode="0.00\ %"/>
    <numFmt numFmtId="169" formatCode="0.00\ \A"/>
    <numFmt numFmtId="170" formatCode="0.00\ \m"/>
    <numFmt numFmtId="171" formatCode="0.00&quot; V&quot;"/>
    <numFmt numFmtId="172" formatCode="0&quot; V&quot;"/>
    <numFmt numFmtId="173" formatCode="0.00&quot; Ohms&quot;"/>
    <numFmt numFmtId="174" formatCode="0.00000&quot; Ω&quot;"/>
    <numFmt numFmtId="175" formatCode="0,000&quot; A&quot;"/>
  </numFmts>
  <fonts count="43">
    <font>
      <sz val="10"/>
      <name val="Arial"/>
    </font>
    <font>
      <sz val="8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9"/>
      <name val="Encino"/>
    </font>
    <font>
      <b/>
      <sz val="9"/>
      <color indexed="10"/>
      <name val="Encino"/>
    </font>
    <font>
      <b/>
      <sz val="9"/>
      <color indexed="12"/>
      <name val="Encino"/>
    </font>
    <font>
      <b/>
      <sz val="9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i/>
      <u/>
      <sz val="10"/>
      <name val="Verdana"/>
      <family val="2"/>
    </font>
    <font>
      <vertAlign val="subscript"/>
      <sz val="12"/>
      <name val="Verdana"/>
      <family val="2"/>
    </font>
    <font>
      <sz val="12"/>
      <name val="Verdana"/>
      <family val="2"/>
    </font>
    <font>
      <b/>
      <u/>
      <sz val="9"/>
      <name val="Verdana"/>
      <family val="2"/>
    </font>
    <font>
      <i/>
      <u/>
      <sz val="9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i/>
      <sz val="10"/>
      <name val="Arial"/>
      <family val="2"/>
    </font>
    <font>
      <sz val="8"/>
      <name val="Symbol"/>
      <family val="1"/>
      <charset val="2"/>
    </font>
    <font>
      <b/>
      <sz val="8"/>
      <color indexed="10"/>
      <name val="Verdana"/>
      <family val="2"/>
    </font>
    <font>
      <sz val="8"/>
      <name val="Arial"/>
      <family val="2"/>
    </font>
    <font>
      <b/>
      <u/>
      <sz val="11"/>
      <name val="Verdana"/>
      <family val="2"/>
    </font>
    <font>
      <b/>
      <sz val="8"/>
      <name val="Arial"/>
      <family val="2"/>
    </font>
    <font>
      <u/>
      <sz val="11"/>
      <name val="Verdana"/>
      <family val="2"/>
    </font>
    <font>
      <b/>
      <sz val="9"/>
      <name val="Wingdings"/>
      <charset val="2"/>
    </font>
    <font>
      <sz val="9"/>
      <color indexed="81"/>
      <name val="Tahom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4"/>
      <color indexed="10"/>
      <name val="Verdana"/>
      <family val="2"/>
    </font>
    <font>
      <b/>
      <sz val="8"/>
      <name val="Wingdings"/>
      <charset val="2"/>
    </font>
    <font>
      <b/>
      <sz val="11"/>
      <color indexed="10"/>
      <name val="Verdana"/>
      <family val="2"/>
    </font>
    <font>
      <b/>
      <sz val="11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12"/>
      <name val="Verdana"/>
      <family val="2"/>
    </font>
    <font>
      <b/>
      <sz val="14"/>
      <color indexed="12"/>
      <name val="Encino"/>
    </font>
    <font>
      <i/>
      <sz val="18"/>
      <color theme="3"/>
      <name val="BBFont"/>
      <family val="2"/>
    </font>
    <font>
      <b/>
      <sz val="12"/>
      <color indexed="12"/>
      <name val="Encino"/>
    </font>
    <font>
      <b/>
      <sz val="12"/>
      <name val="Encino"/>
    </font>
    <font>
      <b/>
      <sz val="12"/>
      <color rgb="FFFF0000"/>
      <name val="Encino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5" fillId="2" borderId="0" xfId="0" applyFont="1" applyFill="1" applyProtection="1">
      <protection hidden="1"/>
    </xf>
    <xf numFmtId="166" fontId="9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166" fontId="3" fillId="2" borderId="0" xfId="0" applyNumberFormat="1" applyFont="1" applyFill="1" applyAlignment="1" applyProtection="1">
      <alignment horizontal="center" vertical="center"/>
      <protection hidden="1"/>
    </xf>
    <xf numFmtId="2" fontId="10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center" vertical="top"/>
      <protection hidden="1"/>
    </xf>
    <xf numFmtId="0" fontId="12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2" fontId="12" fillId="2" borderId="0" xfId="0" applyNumberFormat="1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166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2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2" fillId="2" borderId="1" xfId="0" applyFont="1" applyFill="1" applyBorder="1" applyAlignment="1" applyProtection="1">
      <alignment horizontal="center" wrapText="1"/>
      <protection hidden="1"/>
    </xf>
    <xf numFmtId="0" fontId="15" fillId="2" borderId="1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center" textRotation="90" wrapText="1"/>
      <protection hidden="1"/>
    </xf>
    <xf numFmtId="0" fontId="5" fillId="2" borderId="3" xfId="0" applyFont="1" applyFill="1" applyBorder="1" applyAlignment="1" applyProtection="1">
      <alignment horizontal="right" textRotation="90" wrapText="1"/>
      <protection hidden="1"/>
    </xf>
    <xf numFmtId="0" fontId="5" fillId="2" borderId="1" xfId="0" applyFont="1" applyFill="1" applyBorder="1" applyAlignment="1" applyProtection="1">
      <alignment textRotation="90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2" fontId="10" fillId="2" borderId="0" xfId="0" applyNumberFormat="1" applyFont="1" applyFill="1" applyAlignment="1" applyProtection="1">
      <alignment horizontal="right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hidden="1"/>
    </xf>
    <xf numFmtId="2" fontId="5" fillId="2" borderId="6" xfId="0" applyNumberFormat="1" applyFont="1" applyFill="1" applyBorder="1" applyAlignment="1" applyProtection="1">
      <alignment horizontal="center" vertical="center"/>
      <protection hidden="1"/>
    </xf>
    <xf numFmtId="2" fontId="5" fillId="2" borderId="0" xfId="0" applyNumberFormat="1" applyFont="1" applyFill="1" applyProtection="1">
      <protection hidden="1"/>
    </xf>
    <xf numFmtId="2" fontId="5" fillId="2" borderId="0" xfId="0" applyNumberFormat="1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2" fontId="3" fillId="2" borderId="9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9" xfId="0" applyNumberFormat="1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2" fontId="3" fillId="2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2" xfId="0" applyNumberFormat="1" applyFont="1" applyFill="1" applyBorder="1" applyAlignment="1" applyProtection="1">
      <alignment horizontal="center" vertical="center"/>
      <protection hidden="1"/>
    </xf>
    <xf numFmtId="2" fontId="18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left"/>
      <protection hidden="1"/>
    </xf>
    <xf numFmtId="166" fontId="3" fillId="2" borderId="0" xfId="0" applyNumberFormat="1" applyFont="1" applyFill="1" applyAlignment="1" applyProtection="1">
      <alignment horizontal="left"/>
      <protection hidden="1"/>
    </xf>
    <xf numFmtId="166" fontId="10" fillId="2" borderId="0" xfId="0" applyNumberFormat="1" applyFont="1" applyFill="1" applyAlignment="1" applyProtection="1">
      <protection hidden="1"/>
    </xf>
    <xf numFmtId="0" fontId="22" fillId="2" borderId="0" xfId="0" applyFont="1" applyFill="1" applyAlignment="1" applyProtection="1"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2" fontId="3" fillId="2" borderId="15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Protection="1">
      <protection hidden="1"/>
    </xf>
    <xf numFmtId="1" fontId="10" fillId="2" borderId="0" xfId="0" applyNumberFormat="1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2" fontId="10" fillId="2" borderId="0" xfId="0" applyNumberFormat="1" applyFont="1" applyFill="1" applyAlignment="1" applyProtection="1">
      <protection hidden="1"/>
    </xf>
    <xf numFmtId="0" fontId="10" fillId="2" borderId="0" xfId="0" applyFont="1" applyFill="1" applyAlignment="1" applyProtection="1">
      <alignment horizontal="right"/>
      <protection hidden="1"/>
    </xf>
    <xf numFmtId="2" fontId="10" fillId="2" borderId="0" xfId="0" applyNumberFormat="1" applyFont="1" applyFill="1" applyAlignment="1" applyProtection="1">
      <alignment horizontal="left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166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2" borderId="9" xfId="0" applyNumberFormat="1" applyFont="1" applyFill="1" applyBorder="1" applyAlignment="1" applyProtection="1">
      <alignment horizontal="center" vertical="center"/>
      <protection hidden="1"/>
    </xf>
    <xf numFmtId="2" fontId="10" fillId="2" borderId="10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2" fontId="10" fillId="2" borderId="11" xfId="0" applyNumberFormat="1" applyFont="1" applyFill="1" applyBorder="1" applyAlignment="1" applyProtection="1">
      <alignment horizontal="center" vertical="center"/>
      <protection hidden="1"/>
    </xf>
    <xf numFmtId="2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2" fontId="10" fillId="2" borderId="15" xfId="0" applyNumberFormat="1" applyFont="1" applyFill="1" applyBorder="1" applyAlignment="1" applyProtection="1">
      <alignment horizontal="center" vertical="center"/>
      <protection hidden="1"/>
    </xf>
    <xf numFmtId="2" fontId="10" fillId="2" borderId="18" xfId="0" applyNumberFormat="1" applyFont="1" applyFill="1" applyBorder="1" applyAlignment="1" applyProtection="1">
      <alignment horizontal="center" vertical="center"/>
      <protection hidden="1"/>
    </xf>
    <xf numFmtId="2" fontId="10" fillId="2" borderId="13" xfId="0" applyNumberFormat="1" applyFont="1" applyFill="1" applyBorder="1" applyAlignment="1" applyProtection="1">
      <alignment horizontal="center" vertical="center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1" fontId="10" fillId="2" borderId="14" xfId="0" applyNumberFormat="1" applyFont="1" applyFill="1" applyBorder="1" applyAlignment="1" applyProtection="1">
      <alignment horizontal="center" vertical="center"/>
      <protection hidden="1"/>
    </xf>
    <xf numFmtId="2" fontId="10" fillId="2" borderId="20" xfId="0" applyNumberFormat="1" applyFont="1" applyFill="1" applyBorder="1" applyAlignment="1" applyProtection="1">
      <alignment horizontal="center"/>
      <protection hidden="1"/>
    </xf>
    <xf numFmtId="2" fontId="10" fillId="2" borderId="21" xfId="0" applyNumberFormat="1" applyFont="1" applyFill="1" applyBorder="1" applyAlignment="1" applyProtection="1">
      <alignment horizontal="center" vertic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2" fontId="10" fillId="2" borderId="22" xfId="0" applyNumberFormat="1" applyFont="1" applyFill="1" applyBorder="1" applyAlignment="1" applyProtection="1">
      <alignment horizontal="center" vertical="center"/>
      <protection hidden="1"/>
    </xf>
    <xf numFmtId="1" fontId="10" fillId="2" borderId="22" xfId="0" applyNumberFormat="1" applyFont="1" applyFill="1" applyBorder="1" applyAlignment="1" applyProtection="1">
      <alignment horizontal="center" vertical="center"/>
      <protection hidden="1"/>
    </xf>
    <xf numFmtId="2" fontId="10" fillId="2" borderId="23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6" fillId="2" borderId="24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16" fillId="2" borderId="26" xfId="0" applyFont="1" applyFill="1" applyBorder="1" applyAlignment="1" applyProtection="1">
      <alignment horizontal="right" vertical="center"/>
      <protection hidden="1"/>
    </xf>
    <xf numFmtId="0" fontId="12" fillId="2" borderId="26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2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2" fontId="18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3" fontId="10" fillId="2" borderId="0" xfId="0" applyNumberFormat="1" applyFont="1" applyFill="1" applyAlignment="1" applyProtection="1">
      <protection hidden="1"/>
    </xf>
    <xf numFmtId="2" fontId="5" fillId="2" borderId="0" xfId="0" applyNumberFormat="1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168" fontId="27" fillId="2" borderId="0" xfId="0" applyNumberFormat="1" applyFont="1" applyFill="1" applyAlignment="1" applyProtection="1">
      <alignment horizontal="right"/>
      <protection hidden="1"/>
    </xf>
    <xf numFmtId="2" fontId="10" fillId="2" borderId="7" xfId="0" applyNumberFormat="1" applyFont="1" applyFill="1" applyBorder="1" applyAlignment="1" applyProtection="1">
      <alignment horizontal="center" vertical="center"/>
      <protection hidden="1"/>
    </xf>
    <xf numFmtId="1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10" fillId="2" borderId="27" xfId="0" applyNumberFormat="1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2" fontId="22" fillId="2" borderId="0" xfId="0" applyNumberFormat="1" applyFont="1" applyFill="1" applyAlignment="1" applyProtection="1">
      <alignment horizontal="right"/>
      <protection hidden="1"/>
    </xf>
    <xf numFmtId="2" fontId="22" fillId="2" borderId="0" xfId="0" applyNumberFormat="1" applyFont="1" applyFill="1" applyAlignment="1" applyProtection="1">
      <alignment horizontal="center"/>
      <protection hidden="1"/>
    </xf>
    <xf numFmtId="0" fontId="27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3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2" fontId="5" fillId="2" borderId="0" xfId="0" applyNumberFormat="1" applyFont="1" applyFill="1" applyAlignment="1" applyProtection="1">
      <alignment horizontal="right"/>
      <protection hidden="1"/>
    </xf>
    <xf numFmtId="0" fontId="0" fillId="2" borderId="0" xfId="0" applyFill="1" applyAlignment="1" applyProtection="1">
      <protection hidden="1"/>
    </xf>
    <xf numFmtId="0" fontId="10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protection hidden="1"/>
    </xf>
    <xf numFmtId="0" fontId="12" fillId="2" borderId="0" xfId="0" applyFont="1" applyFill="1" applyAlignment="1" applyProtection="1"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168" fontId="32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right" vertical="center"/>
      <protection hidden="1"/>
    </xf>
    <xf numFmtId="1" fontId="5" fillId="2" borderId="29" xfId="0" applyNumberFormat="1" applyFont="1" applyFill="1" applyBorder="1" applyAlignment="1" applyProtection="1">
      <alignment vertic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12" fillId="2" borderId="30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1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2" fillId="2" borderId="32" xfId="0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right" vertical="center"/>
      <protection hidden="1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protection locked="0"/>
    </xf>
    <xf numFmtId="2" fontId="10" fillId="3" borderId="23" xfId="0" applyNumberFormat="1" applyFont="1" applyFill="1" applyBorder="1" applyProtection="1">
      <protection locked="0"/>
    </xf>
    <xf numFmtId="2" fontId="10" fillId="3" borderId="27" xfId="0" applyNumberFormat="1" applyFont="1" applyFill="1" applyBorder="1" applyAlignment="1" applyProtection="1">
      <alignment horizontal="right"/>
      <protection locked="0"/>
    </xf>
    <xf numFmtId="0" fontId="10" fillId="3" borderId="20" xfId="0" applyFont="1" applyFill="1" applyBorder="1" applyAlignment="1" applyProtection="1">
      <alignment horizontal="right"/>
      <protection locked="0"/>
    </xf>
    <xf numFmtId="0" fontId="10" fillId="3" borderId="23" xfId="0" applyFont="1" applyFill="1" applyBorder="1" applyAlignment="1" applyProtection="1">
      <alignment horizontal="right"/>
      <protection locked="0"/>
    </xf>
    <xf numFmtId="0" fontId="10" fillId="3" borderId="27" xfId="0" applyFont="1" applyFill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12" fillId="0" borderId="24" xfId="0" applyFont="1" applyBorder="1" applyAlignment="1" applyProtection="1">
      <alignment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29" fillId="0" borderId="0" xfId="0" applyFont="1" applyFill="1" applyAlignment="1" applyProtection="1">
      <alignment vertical="center"/>
      <protection hidden="1"/>
    </xf>
    <xf numFmtId="165" fontId="29" fillId="0" borderId="0" xfId="0" applyNumberFormat="1" applyFont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49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horizontal="left" vertical="top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66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29" fillId="0" borderId="28" xfId="0" applyFont="1" applyFill="1" applyBorder="1" applyAlignment="1" applyProtection="1">
      <alignment vertical="center"/>
      <protection hidden="1"/>
    </xf>
    <xf numFmtId="0" fontId="12" fillId="0" borderId="29" xfId="0" applyFont="1" applyFill="1" applyBorder="1" applyAlignment="1" applyProtection="1">
      <alignment horizontal="right" vertical="center"/>
      <protection hidden="1"/>
    </xf>
    <xf numFmtId="0" fontId="12" fillId="0" borderId="30" xfId="0" applyFont="1" applyFill="1" applyBorder="1" applyAlignment="1" applyProtection="1">
      <alignment horizontal="right" vertical="center"/>
      <protection hidden="1"/>
    </xf>
    <xf numFmtId="0" fontId="29" fillId="0" borderId="31" xfId="0" applyFont="1" applyFill="1" applyBorder="1" applyAlignment="1" applyProtection="1">
      <alignment vertical="center"/>
      <protection hidden="1"/>
    </xf>
    <xf numFmtId="0" fontId="12" fillId="0" borderId="32" xfId="0" applyFont="1" applyFill="1" applyBorder="1" applyAlignment="1" applyProtection="1">
      <alignment vertical="center"/>
      <protection hidden="1"/>
    </xf>
    <xf numFmtId="0" fontId="29" fillId="0" borderId="33" xfId="0" applyFont="1" applyFill="1" applyBorder="1" applyAlignment="1" applyProtection="1">
      <alignment vertical="center"/>
      <protection hidden="1"/>
    </xf>
    <xf numFmtId="0" fontId="12" fillId="0" borderId="24" xfId="0" applyFont="1" applyFill="1" applyBorder="1" applyAlignment="1" applyProtection="1">
      <alignment vertical="center"/>
      <protection hidden="1"/>
    </xf>
    <xf numFmtId="0" fontId="12" fillId="0" borderId="34" xfId="0" applyFont="1" applyFill="1" applyBorder="1" applyAlignment="1" applyProtection="1">
      <alignment vertical="center"/>
      <protection hidden="1"/>
    </xf>
    <xf numFmtId="172" fontId="29" fillId="0" borderId="38" xfId="0" applyNumberFormat="1" applyFont="1" applyBorder="1" applyAlignment="1" applyProtection="1">
      <alignment horizontal="left" vertical="center"/>
      <protection hidden="1"/>
    </xf>
    <xf numFmtId="10" fontId="29" fillId="0" borderId="39" xfId="0" applyNumberFormat="1" applyFont="1" applyBorder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protection hidden="1"/>
    </xf>
    <xf numFmtId="166" fontId="10" fillId="4" borderId="0" xfId="0" applyNumberFormat="1" applyFont="1" applyFill="1" applyAlignment="1" applyProtection="1">
      <protection hidden="1"/>
    </xf>
    <xf numFmtId="2" fontId="10" fillId="4" borderId="0" xfId="0" applyNumberFormat="1" applyFont="1" applyFill="1" applyAlignment="1" applyProtection="1">
      <alignment horizontal="center"/>
      <protection hidden="1"/>
    </xf>
    <xf numFmtId="2" fontId="10" fillId="4" borderId="0" xfId="0" applyNumberFormat="1" applyFont="1" applyFill="1" applyAlignment="1" applyProtection="1">
      <alignment horizontal="right"/>
      <protection hidden="1"/>
    </xf>
    <xf numFmtId="0" fontId="10" fillId="4" borderId="0" xfId="0" applyFont="1" applyFill="1" applyAlignment="1" applyProtection="1">
      <alignment horizontal="right"/>
      <protection hidden="1"/>
    </xf>
    <xf numFmtId="0" fontId="5" fillId="4" borderId="0" xfId="0" applyFont="1" applyFill="1" applyProtection="1"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2" fontId="3" fillId="4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29" fillId="0" borderId="40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29" fillId="0" borderId="23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2" fillId="0" borderId="41" xfId="0" applyFont="1" applyBorder="1" applyAlignment="1" applyProtection="1">
      <alignment horizontal="center" vertical="center"/>
      <protection hidden="1"/>
    </xf>
    <xf numFmtId="0" fontId="29" fillId="0" borderId="41" xfId="0" applyFont="1" applyBorder="1" applyAlignment="1" applyProtection="1">
      <alignment horizontal="center" vertical="center"/>
      <protection hidden="1"/>
    </xf>
    <xf numFmtId="0" fontId="29" fillId="0" borderId="24" xfId="0" applyFont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protection hidden="1"/>
    </xf>
    <xf numFmtId="2" fontId="10" fillId="3" borderId="0" xfId="0" applyNumberFormat="1" applyFont="1" applyFill="1" applyBorder="1" applyAlignment="1" applyProtection="1">
      <protection locked="0"/>
    </xf>
    <xf numFmtId="4" fontId="10" fillId="0" borderId="0" xfId="0" applyNumberFormat="1" applyFont="1" applyFill="1" applyBorder="1" applyAlignment="1" applyProtection="1">
      <protection hidden="1"/>
    </xf>
    <xf numFmtId="166" fontId="10" fillId="3" borderId="0" xfId="0" applyNumberFormat="1" applyFont="1" applyFill="1" applyBorder="1" applyProtection="1">
      <protection locked="0"/>
    </xf>
    <xf numFmtId="0" fontId="10" fillId="3" borderId="0" xfId="0" applyFont="1" applyFill="1" applyBorder="1" applyAlignment="1" applyProtection="1">
      <protection locked="0"/>
    </xf>
    <xf numFmtId="164" fontId="10" fillId="3" borderId="42" xfId="0" applyNumberFormat="1" applyFont="1" applyFill="1" applyBorder="1" applyAlignment="1" applyProtection="1">
      <protection locked="0"/>
    </xf>
    <xf numFmtId="0" fontId="29" fillId="0" borderId="38" xfId="0" applyFont="1" applyBorder="1" applyAlignment="1" applyProtection="1">
      <alignment vertical="center"/>
      <protection hidden="1"/>
    </xf>
    <xf numFmtId="0" fontId="29" fillId="0" borderId="39" xfId="0" applyFont="1" applyBorder="1" applyAlignment="1" applyProtection="1">
      <alignment vertical="center"/>
      <protection hidden="1"/>
    </xf>
    <xf numFmtId="0" fontId="10" fillId="2" borderId="43" xfId="0" applyFont="1" applyFill="1" applyBorder="1" applyAlignment="1" applyProtection="1">
      <alignment horizontal="center" vertical="center"/>
      <protection hidden="1"/>
    </xf>
    <xf numFmtId="164" fontId="10" fillId="2" borderId="44" xfId="0" applyNumberFormat="1" applyFont="1" applyFill="1" applyBorder="1" applyAlignment="1" applyProtection="1">
      <alignment horizontal="center" vertical="center"/>
      <protection hidden="1"/>
    </xf>
    <xf numFmtId="2" fontId="10" fillId="2" borderId="45" xfId="0" applyNumberFormat="1" applyFont="1" applyFill="1" applyBorder="1" applyAlignment="1" applyProtection="1">
      <alignment horizontal="center" vertical="center"/>
      <protection hidden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164" fontId="10" fillId="3" borderId="22" xfId="0" applyNumberFormat="1" applyFont="1" applyFill="1" applyBorder="1" applyAlignment="1" applyProtection="1">
      <alignment horizontal="center" vertical="center"/>
      <protection locked="0"/>
    </xf>
    <xf numFmtId="2" fontId="10" fillId="3" borderId="0" xfId="0" applyNumberFormat="1" applyFont="1" applyFill="1" applyBorder="1" applyAlignment="1" applyProtection="1">
      <alignment horizontal="center" vertical="center"/>
      <protection locked="0"/>
    </xf>
    <xf numFmtId="2" fontId="10" fillId="2" borderId="46" xfId="0" applyNumberFormat="1" applyFont="1" applyFill="1" applyBorder="1" applyAlignment="1" applyProtection="1">
      <alignment horizontal="center" vertical="center"/>
      <protection hidden="1"/>
    </xf>
    <xf numFmtId="2" fontId="10" fillId="2" borderId="47" xfId="0" applyNumberFormat="1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protection hidden="1"/>
    </xf>
    <xf numFmtId="0" fontId="16" fillId="2" borderId="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2" fontId="10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10" fillId="3" borderId="48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24" xfId="0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0" fontId="12" fillId="0" borderId="0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0" fontId="12" fillId="0" borderId="0" xfId="0" applyNumberFormat="1" applyFont="1" applyBorder="1" applyAlignment="1" applyProtection="1">
      <alignment horizontal="center" vertical="center"/>
      <protection hidden="1"/>
    </xf>
    <xf numFmtId="171" fontId="12" fillId="0" borderId="0" xfId="0" applyNumberFormat="1" applyFont="1" applyBorder="1" applyAlignment="1" applyProtection="1">
      <alignment horizontal="center" vertical="center"/>
      <protection hidden="1"/>
    </xf>
    <xf numFmtId="175" fontId="12" fillId="0" borderId="0" xfId="0" applyNumberFormat="1" applyFont="1" applyBorder="1" applyAlignment="1" applyProtection="1">
      <alignment horizontal="left" vertical="center"/>
      <protection hidden="1"/>
    </xf>
    <xf numFmtId="10" fontId="5" fillId="2" borderId="0" xfId="0" applyNumberFormat="1" applyFont="1" applyFill="1" applyAlignment="1" applyProtection="1">
      <alignment horizontal="center"/>
      <protection hidden="1"/>
    </xf>
    <xf numFmtId="171" fontId="5" fillId="2" borderId="0" xfId="0" applyNumberFormat="1" applyFont="1" applyFill="1" applyAlignment="1" applyProtection="1">
      <alignment horizontal="center"/>
      <protection hidden="1"/>
    </xf>
    <xf numFmtId="3" fontId="10" fillId="3" borderId="0" xfId="0" applyNumberFormat="1" applyFont="1" applyFill="1" applyBorder="1" applyProtection="1">
      <protection locked="0"/>
    </xf>
    <xf numFmtId="0" fontId="12" fillId="0" borderId="50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5" borderId="0" xfId="0" applyFill="1" applyAlignment="1"/>
    <xf numFmtId="0" fontId="9" fillId="5" borderId="51" xfId="0" applyNumberFormat="1" applyFont="1" applyFill="1" applyBorder="1" applyAlignment="1" applyProtection="1">
      <alignment horizontal="left" vertical="center"/>
      <protection hidden="1"/>
    </xf>
    <xf numFmtId="49" fontId="9" fillId="5" borderId="52" xfId="0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74" fontId="1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12" fillId="0" borderId="0" xfId="0" applyNumberFormat="1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9" fillId="2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14" fontId="9" fillId="3" borderId="0" xfId="0" applyNumberFormat="1" applyFont="1" applyFill="1" applyBorder="1" applyAlignment="1" applyProtection="1">
      <alignment horizontal="left" vertical="center"/>
      <protection locked="0"/>
    </xf>
    <xf numFmtId="169" fontId="29" fillId="2" borderId="0" xfId="0" applyNumberFormat="1" applyFont="1" applyFill="1" applyBorder="1" applyAlignment="1" applyProtection="1">
      <alignment horizontal="left"/>
      <protection hidden="1"/>
    </xf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vertical="center"/>
    </xf>
    <xf numFmtId="2" fontId="19" fillId="2" borderId="0" xfId="0" applyNumberFormat="1" applyFont="1" applyFill="1" applyAlignment="1" applyProtection="1">
      <alignment horizontal="right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49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horizontal="left" vertical="center"/>
    </xf>
    <xf numFmtId="0" fontId="0" fillId="3" borderId="0" xfId="0" applyNumberFormat="1" applyFill="1" applyBorder="1" applyAlignmen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/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0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170" fontId="29" fillId="2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/>
    <xf numFmtId="173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167" fontId="29" fillId="2" borderId="0" xfId="0" applyNumberFormat="1" applyFont="1" applyFill="1" applyBorder="1" applyAlignment="1" applyProtection="1">
      <alignment horizontal="left"/>
      <protection hidden="1"/>
    </xf>
    <xf numFmtId="0" fontId="33" fillId="2" borderId="0" xfId="0" applyFont="1" applyFill="1" applyBorder="1" applyAlignment="1" applyProtection="1">
      <alignment horizontal="center" vertical="center" wrapText="1"/>
      <protection hidden="1"/>
    </xf>
    <xf numFmtId="171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/>
    <xf numFmtId="0" fontId="0" fillId="0" borderId="0" xfId="0" applyAlignment="1" applyProtection="1">
      <protection locked="0"/>
    </xf>
  </cellXfs>
  <cellStyles count="1">
    <cellStyle name="Normal" xfId="0" builtinId="0"/>
  </cellStyles>
  <dxfs count="2"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5" name="Straight Connector 4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6" name="Straight Connector 5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4" name="Straight Connector 3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7" name="Straight Connector 6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8" name="Straight Connector 7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9" name="Straight Connector 8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10" name="Straight Connector 9"/>
        <xdr:cNvCxnSpPr/>
      </xdr:nvCxnSpPr>
      <xdr:spPr>
        <a:xfrm>
          <a:off x="1326092" y="4242857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11" name="Straight Connector 10"/>
        <xdr:cNvCxnSpPr/>
      </xdr:nvCxnSpPr>
      <xdr:spPr>
        <a:xfrm>
          <a:off x="1326092" y="4500032"/>
          <a:ext cx="751416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showZeros="0" zoomScale="90" zoomScaleNormal="90" workbookViewId="0">
      <selection activeCell="D17" sqref="D17"/>
    </sheetView>
  </sheetViews>
  <sheetFormatPr defaultColWidth="18.7109375" defaultRowHeight="21.75" customHeight="1"/>
  <cols>
    <col min="1" max="1" width="4.5703125" style="160" customWidth="1"/>
    <col min="2" max="2" width="15" style="160" customWidth="1"/>
    <col min="3" max="6" width="11.42578125" style="160" customWidth="1"/>
    <col min="7" max="7" width="7.7109375" style="160" customWidth="1"/>
    <col min="8" max="8" width="15.7109375" style="160" customWidth="1"/>
    <col min="9" max="16384" width="18.7109375" style="160"/>
  </cols>
  <sheetData>
    <row r="1" spans="1:8" ht="21.75" customHeight="1">
      <c r="A1" s="266" t="s">
        <v>232</v>
      </c>
      <c r="B1" s="159"/>
      <c r="F1" s="159"/>
      <c r="G1" s="261"/>
      <c r="H1" s="265" t="s">
        <v>234</v>
      </c>
    </row>
    <row r="2" spans="1:8" s="163" customFormat="1" ht="21.75" customHeight="1">
      <c r="A2" s="162" t="s">
        <v>233</v>
      </c>
      <c r="B2" s="162"/>
      <c r="F2" s="162"/>
      <c r="G2" s="162"/>
      <c r="H2" s="162"/>
    </row>
    <row r="4" spans="1:8" ht="21.75" customHeight="1" thickBot="1">
      <c r="A4" s="164" t="s">
        <v>162</v>
      </c>
      <c r="D4" s="165"/>
    </row>
    <row r="5" spans="1:8" ht="21.75" customHeight="1">
      <c r="A5" s="160" t="s">
        <v>16</v>
      </c>
      <c r="C5" s="186" t="s">
        <v>204</v>
      </c>
      <c r="D5" s="187"/>
      <c r="E5" s="187"/>
      <c r="F5" s="188"/>
      <c r="G5" s="165" t="s">
        <v>160</v>
      </c>
      <c r="H5" s="223" t="s">
        <v>244</v>
      </c>
    </row>
    <row r="6" spans="1:8" ht="21.75" customHeight="1" thickBot="1">
      <c r="A6" s="160" t="s">
        <v>22</v>
      </c>
      <c r="C6" s="189" t="s">
        <v>235</v>
      </c>
      <c r="D6" s="185"/>
      <c r="E6" s="185"/>
      <c r="F6" s="190"/>
      <c r="G6" s="165" t="s">
        <v>161</v>
      </c>
      <c r="H6" s="224" t="s">
        <v>181</v>
      </c>
    </row>
    <row r="7" spans="1:8" ht="21.75" customHeight="1">
      <c r="A7" s="160" t="s">
        <v>31</v>
      </c>
      <c r="C7" s="189" t="s">
        <v>205</v>
      </c>
      <c r="D7" s="185"/>
      <c r="E7" s="185"/>
      <c r="F7" s="190"/>
    </row>
    <row r="8" spans="1:8" ht="21.75" customHeight="1">
      <c r="A8" s="160" t="s">
        <v>37</v>
      </c>
      <c r="C8" s="189" t="s">
        <v>239</v>
      </c>
      <c r="D8" s="185"/>
      <c r="E8" s="185"/>
      <c r="F8" s="190"/>
    </row>
    <row r="9" spans="1:8" ht="21.75" customHeight="1" thickBot="1">
      <c r="A9" s="160" t="s">
        <v>17</v>
      </c>
      <c r="C9" s="191" t="s">
        <v>180</v>
      </c>
      <c r="D9" s="192"/>
      <c r="E9" s="192"/>
      <c r="F9" s="193"/>
    </row>
    <row r="10" spans="1:8" ht="21.75" customHeight="1" thickBot="1">
      <c r="A10" s="285"/>
      <c r="B10" s="285"/>
      <c r="C10" s="179"/>
      <c r="D10" s="180"/>
      <c r="E10" s="180"/>
      <c r="F10" s="181"/>
    </row>
    <row r="11" spans="1:8" ht="21.75" customHeight="1">
      <c r="A11" s="286" t="s">
        <v>167</v>
      </c>
      <c r="B11" s="286"/>
      <c r="C11" s="194">
        <v>230</v>
      </c>
      <c r="D11" s="180"/>
      <c r="E11" s="180"/>
      <c r="F11" s="181"/>
    </row>
    <row r="12" spans="1:8" ht="21.75" customHeight="1" thickBot="1">
      <c r="A12" s="286" t="s">
        <v>168</v>
      </c>
      <c r="B12" s="286"/>
      <c r="C12" s="195">
        <v>0.04</v>
      </c>
      <c r="D12" s="180"/>
      <c r="E12" s="180"/>
      <c r="F12" s="181"/>
    </row>
    <row r="14" spans="1:8" ht="20.25" customHeight="1">
      <c r="A14" s="251" t="s">
        <v>185</v>
      </c>
      <c r="B14" s="250"/>
      <c r="C14" s="247"/>
      <c r="D14" s="253" t="s">
        <v>173</v>
      </c>
      <c r="E14" s="253" t="s">
        <v>174</v>
      </c>
      <c r="F14" s="253" t="s">
        <v>175</v>
      </c>
    </row>
    <row r="15" spans="1:8" ht="20.25" customHeight="1">
      <c r="A15" s="249" t="s">
        <v>23</v>
      </c>
      <c r="B15" s="250"/>
      <c r="C15" s="247" t="s">
        <v>252</v>
      </c>
      <c r="D15" s="184"/>
      <c r="E15" s="184"/>
      <c r="F15" s="184"/>
    </row>
    <row r="16" spans="1:8" ht="20.25" customHeight="1">
      <c r="A16" s="249" t="s">
        <v>45</v>
      </c>
      <c r="B16" s="250"/>
      <c r="C16" s="252"/>
      <c r="D16" s="254">
        <v>1.0800000000000001E-2</v>
      </c>
      <c r="E16" s="254">
        <f>VD_L1</f>
        <v>1.0800000000000001E-2</v>
      </c>
      <c r="F16" s="254">
        <f>VD_L2</f>
        <v>1.0800000000000001E-2</v>
      </c>
    </row>
    <row r="17" spans="1:8" ht="20.25" customHeight="1">
      <c r="A17" s="249" t="s">
        <v>58</v>
      </c>
      <c r="B17" s="250"/>
      <c r="C17" s="252"/>
      <c r="D17" s="255">
        <f>Source_Nominal_V-(Source_Nominal_V*(VD_L1/10))</f>
        <v>229.7516</v>
      </c>
      <c r="E17" s="255">
        <f>Source_Nominal_V-(Source_Nominal_V*(VD_L2/10))</f>
        <v>229.7516</v>
      </c>
      <c r="F17" s="255">
        <f>Source_Nominal_V-(Source_Nominal_V*(VD_L3/10))</f>
        <v>229.7516</v>
      </c>
    </row>
    <row r="18" spans="1:8" ht="20.25" customHeight="1">
      <c r="A18" s="249" t="s">
        <v>186</v>
      </c>
      <c r="B18" s="250"/>
      <c r="C18" s="256">
        <v>14430</v>
      </c>
      <c r="D18" s="263"/>
      <c r="E18" s="184"/>
    </row>
    <row r="19" spans="1:8" ht="20.25" customHeight="1">
      <c r="A19" s="249" t="s">
        <v>187</v>
      </c>
      <c r="B19" s="250"/>
      <c r="C19" s="256">
        <v>1500</v>
      </c>
      <c r="D19" s="263"/>
      <c r="E19" s="184"/>
    </row>
    <row r="20" spans="1:8" ht="21.75" customHeight="1">
      <c r="A20" s="249" t="s">
        <v>57</v>
      </c>
      <c r="B20" s="250"/>
      <c r="C20" s="280">
        <v>7.3730000000000004E-2</v>
      </c>
      <c r="D20" s="281"/>
      <c r="E20" s="184"/>
    </row>
    <row r="21" spans="1:8" ht="21.75" customHeight="1">
      <c r="A21" s="249"/>
      <c r="B21" s="250"/>
      <c r="C21" s="247"/>
    </row>
    <row r="22" spans="1:8" ht="21.75" customHeight="1" thickBot="1"/>
    <row r="23" spans="1:8" ht="21.75" customHeight="1">
      <c r="A23" s="171"/>
      <c r="B23" s="172" t="s">
        <v>163</v>
      </c>
      <c r="C23" s="168"/>
      <c r="D23" s="172" t="s">
        <v>193</v>
      </c>
      <c r="E23" s="246"/>
      <c r="F23" s="168"/>
      <c r="G23" s="172" t="s">
        <v>194</v>
      </c>
      <c r="H23" s="246"/>
    </row>
    <row r="24" spans="1:8" ht="21.75" customHeight="1">
      <c r="B24" s="277" t="s">
        <v>236</v>
      </c>
      <c r="C24" s="173"/>
      <c r="D24" s="267" t="s">
        <v>237</v>
      </c>
      <c r="F24" s="173"/>
      <c r="G24" s="268" t="s">
        <v>238</v>
      </c>
    </row>
    <row r="25" spans="1:8" ht="21.75" customHeight="1">
      <c r="B25" s="262"/>
      <c r="C25" s="173"/>
      <c r="D25" s="262"/>
      <c r="F25" s="173"/>
      <c r="G25" s="262"/>
    </row>
    <row r="26" spans="1:8" ht="21.75" customHeight="1">
      <c r="B26" s="268" t="s">
        <v>246</v>
      </c>
      <c r="C26" s="173"/>
      <c r="D26" s="273" t="s">
        <v>248</v>
      </c>
      <c r="F26" s="173"/>
      <c r="G26" s="268" t="s">
        <v>238</v>
      </c>
    </row>
    <row r="27" spans="1:8" ht="21.75" customHeight="1">
      <c r="B27" s="262"/>
      <c r="C27" s="173"/>
      <c r="D27" s="262"/>
      <c r="F27" s="173"/>
      <c r="G27" s="262"/>
    </row>
    <row r="28" spans="1:8" ht="21.75" customHeight="1">
      <c r="B28" s="269" t="s">
        <v>246</v>
      </c>
      <c r="C28" s="173"/>
      <c r="D28" s="273" t="s">
        <v>249</v>
      </c>
      <c r="F28" s="173"/>
      <c r="G28" s="268"/>
    </row>
    <row r="29" spans="1:8" ht="21.75" customHeight="1">
      <c r="B29" s="262"/>
      <c r="C29" s="173"/>
      <c r="D29" s="262"/>
      <c r="F29" s="173"/>
      <c r="G29" s="262"/>
    </row>
    <row r="30" spans="1:8" ht="21.75" customHeight="1">
      <c r="B30" s="269" t="s">
        <v>230</v>
      </c>
      <c r="C30" s="173"/>
      <c r="D30" s="269" t="s">
        <v>240</v>
      </c>
      <c r="F30" s="173"/>
      <c r="G30" s="269" t="s">
        <v>231</v>
      </c>
    </row>
    <row r="31" spans="1:8" ht="21" customHeight="1" thickBot="1">
      <c r="A31" s="167"/>
      <c r="B31" s="174"/>
      <c r="C31" s="175"/>
      <c r="D31" s="183"/>
      <c r="E31" s="260"/>
      <c r="F31" s="175"/>
      <c r="G31" s="248"/>
      <c r="H31" s="248"/>
    </row>
    <row r="33" spans="1:8" ht="21.75" customHeight="1">
      <c r="A33" s="166" t="s">
        <v>164</v>
      </c>
    </row>
    <row r="34" spans="1:8" ht="21.75" customHeight="1">
      <c r="A34" s="176"/>
      <c r="B34" s="176"/>
      <c r="C34" s="176"/>
      <c r="D34" s="176"/>
      <c r="E34" s="176"/>
      <c r="F34" s="176"/>
    </row>
    <row r="35" spans="1:8" ht="21.75" customHeight="1">
      <c r="A35" s="177" t="s">
        <v>165</v>
      </c>
      <c r="B35" s="282" t="s">
        <v>166</v>
      </c>
      <c r="C35" s="283"/>
      <c r="D35" s="283"/>
      <c r="E35" s="283"/>
      <c r="F35" s="283"/>
      <c r="G35" s="283"/>
      <c r="H35" s="284"/>
    </row>
    <row r="36" spans="1:8" ht="21.75" customHeight="1">
      <c r="A36" s="178"/>
      <c r="B36" s="283"/>
      <c r="C36" s="283"/>
      <c r="D36" s="283"/>
      <c r="E36" s="283"/>
      <c r="F36" s="283"/>
      <c r="G36" s="283"/>
      <c r="H36" s="284"/>
    </row>
  </sheetData>
  <mergeCells count="5">
    <mergeCell ref="C20:D20"/>
    <mergeCell ref="B35:H36"/>
    <mergeCell ref="A10:B10"/>
    <mergeCell ref="A11:B11"/>
    <mergeCell ref="A12:B12"/>
  </mergeCells>
  <phoneticPr fontId="0" type="noConversion"/>
  <pageMargins left="0.98425196850393704" right="0.33" top="0.23622047244094491" bottom="0.28000000000000003" header="0.23622047244094491" footer="0.37"/>
  <pageSetup paperSize="9" orientation="portrait" horizontalDpi="300" verticalDpi="300" r:id="rId1"/>
  <headerFooter alignWithMargins="0">
    <oddFooter>&amp;L
      &amp;"Verdana,Regular"&amp;8Sheet &amp;P/&amp;N&amp;R&amp;8
&amp;"Verdana,Regular"&amp;A  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6"/>
  <sheetViews>
    <sheetView showZeros="0" zoomScale="90" zoomScaleNormal="90" workbookViewId="0">
      <selection activeCell="D32" sqref="D32"/>
    </sheetView>
  </sheetViews>
  <sheetFormatPr defaultColWidth="18.7109375" defaultRowHeight="21" customHeight="1"/>
  <cols>
    <col min="1" max="1" width="8.7109375" style="160" customWidth="1"/>
    <col min="2" max="8" width="11.140625" style="160" customWidth="1"/>
    <col min="9" max="9" width="4.7109375" style="160" customWidth="1"/>
    <col min="10" max="10" width="28.140625" style="160" customWidth="1"/>
    <col min="11" max="16384" width="18.7109375" style="160"/>
  </cols>
  <sheetData>
    <row r="1" spans="1:12" ht="21" customHeight="1">
      <c r="A1" s="266" t="s">
        <v>232</v>
      </c>
      <c r="B1" s="159"/>
      <c r="F1" s="159"/>
      <c r="G1" s="261"/>
      <c r="H1" s="265" t="s">
        <v>234</v>
      </c>
      <c r="I1" s="161"/>
    </row>
    <row r="2" spans="1:12" s="163" customFormat="1" ht="21" customHeight="1">
      <c r="A2" s="162" t="s">
        <v>203</v>
      </c>
      <c r="B2" s="162"/>
      <c r="H2" s="162"/>
      <c r="I2" s="162"/>
      <c r="J2" s="162"/>
    </row>
    <row r="4" spans="1:12" ht="21" customHeight="1">
      <c r="A4" s="164" t="str">
        <f ca="1">MID(CELL("filename",A1),FIND("]",CELL("filename",A1))+1,32)</f>
        <v>Luminaire Schedule</v>
      </c>
      <c r="F4" s="165" t="s">
        <v>160</v>
      </c>
      <c r="G4" s="166" t="str">
        <f>Date</f>
        <v>26.06.10</v>
      </c>
    </row>
    <row r="5" spans="1:12" ht="21" customHeight="1">
      <c r="A5" s="160" t="s">
        <v>16</v>
      </c>
      <c r="C5" s="169" t="str">
        <f>Project_Name</f>
        <v>Fife-JV</v>
      </c>
      <c r="D5" s="215"/>
      <c r="E5" s="215"/>
      <c r="F5" s="165" t="s">
        <v>161</v>
      </c>
      <c r="G5" s="166" t="str">
        <f>Prep_By</f>
        <v>N Holmes</v>
      </c>
    </row>
    <row r="6" spans="1:12" ht="21" customHeight="1">
      <c r="A6" s="160" t="s">
        <v>22</v>
      </c>
      <c r="C6" s="169" t="str">
        <f>Project_No</f>
        <v>MW502</v>
      </c>
      <c r="D6" s="216"/>
      <c r="E6" s="216"/>
    </row>
    <row r="7" spans="1:12" ht="21" customHeight="1">
      <c r="A7" s="160" t="s">
        <v>31</v>
      </c>
      <c r="C7" s="169" t="str">
        <f>Area_Zone_Level</f>
        <v>Level 00 - DB Zone E1|0|BL</v>
      </c>
      <c r="D7" s="216"/>
      <c r="E7" s="216"/>
    </row>
    <row r="8" spans="1:12" ht="21" customHeight="1">
      <c r="A8" s="160" t="s">
        <v>37</v>
      </c>
      <c r="C8" s="169" t="str">
        <f>Drawing_No</f>
        <v>CD-MS-02-L(62)1-XX-006</v>
      </c>
      <c r="D8" s="216"/>
      <c r="E8" s="216"/>
    </row>
    <row r="9" spans="1:12" ht="21" customHeight="1">
      <c r="A9" s="160" t="s">
        <v>17</v>
      </c>
      <c r="C9" s="170" t="str">
        <f>Service</f>
        <v>Lighting</v>
      </c>
    </row>
    <row r="10" spans="1:12" ht="21" customHeight="1" thickBot="1"/>
    <row r="11" spans="1:12" s="182" customFormat="1" ht="34.5" customHeight="1">
      <c r="A11" s="207" t="s">
        <v>169</v>
      </c>
      <c r="B11" s="208" t="s">
        <v>170</v>
      </c>
      <c r="C11" s="208" t="s">
        <v>171</v>
      </c>
      <c r="D11" s="208" t="s">
        <v>172</v>
      </c>
      <c r="E11" s="207" t="s">
        <v>169</v>
      </c>
      <c r="F11" s="208" t="s">
        <v>170</v>
      </c>
      <c r="G11" s="208" t="s">
        <v>171</v>
      </c>
      <c r="H11" s="207" t="s">
        <v>172</v>
      </c>
    </row>
    <row r="12" spans="1:12" ht="21" customHeight="1">
      <c r="A12" s="264" t="s">
        <v>56</v>
      </c>
      <c r="B12" s="209">
        <v>54</v>
      </c>
      <c r="C12" s="209" t="s">
        <v>221</v>
      </c>
      <c r="D12" s="210">
        <v>118</v>
      </c>
      <c r="E12" s="264" t="s">
        <v>228</v>
      </c>
      <c r="F12" s="209">
        <v>24</v>
      </c>
      <c r="G12" s="209">
        <v>4</v>
      </c>
      <c r="H12" s="211">
        <v>102</v>
      </c>
      <c r="J12" s="182"/>
      <c r="K12" s="182"/>
      <c r="L12" s="182"/>
    </row>
    <row r="13" spans="1:12" ht="21" customHeight="1">
      <c r="A13" s="264" t="s">
        <v>21</v>
      </c>
      <c r="B13" s="209">
        <v>54</v>
      </c>
      <c r="C13" s="209">
        <v>1</v>
      </c>
      <c r="D13" s="210">
        <v>61</v>
      </c>
      <c r="E13" s="264" t="s">
        <v>202</v>
      </c>
      <c r="F13" s="209"/>
      <c r="G13" s="209"/>
      <c r="H13" s="211"/>
      <c r="J13" s="182"/>
      <c r="K13" s="182"/>
      <c r="L13" s="182"/>
    </row>
    <row r="14" spans="1:12" ht="21" customHeight="1">
      <c r="A14" s="264" t="s">
        <v>30</v>
      </c>
      <c r="B14" s="209">
        <v>26</v>
      </c>
      <c r="C14" s="209">
        <v>2</v>
      </c>
      <c r="D14" s="210">
        <v>54</v>
      </c>
      <c r="E14" s="264" t="s">
        <v>44</v>
      </c>
      <c r="F14" s="209">
        <v>58</v>
      </c>
      <c r="G14" s="209">
        <v>2</v>
      </c>
      <c r="H14" s="211">
        <v>163</v>
      </c>
      <c r="J14" s="182"/>
      <c r="K14" s="182"/>
      <c r="L14" s="182"/>
    </row>
    <row r="15" spans="1:12" ht="21" customHeight="1">
      <c r="A15" s="264" t="s">
        <v>225</v>
      </c>
      <c r="B15" s="209">
        <v>18</v>
      </c>
      <c r="C15" s="209">
        <v>1</v>
      </c>
      <c r="D15" s="210">
        <v>19</v>
      </c>
      <c r="E15" s="269" t="s">
        <v>247</v>
      </c>
      <c r="F15" s="209">
        <v>54</v>
      </c>
      <c r="G15" s="209">
        <v>1</v>
      </c>
      <c r="H15" s="211">
        <v>61</v>
      </c>
      <c r="J15" s="182"/>
      <c r="K15" s="182"/>
      <c r="L15" s="182"/>
    </row>
    <row r="16" spans="1:12" ht="21" customHeight="1">
      <c r="A16" s="264" t="s">
        <v>226</v>
      </c>
      <c r="B16" s="209">
        <v>18</v>
      </c>
      <c r="C16" s="209">
        <v>2</v>
      </c>
      <c r="D16" s="210">
        <v>38</v>
      </c>
      <c r="E16" s="264" t="s">
        <v>217</v>
      </c>
      <c r="F16" s="209">
        <v>54</v>
      </c>
      <c r="G16" s="209">
        <v>1</v>
      </c>
      <c r="H16" s="211">
        <v>61</v>
      </c>
      <c r="J16" s="182"/>
      <c r="K16" s="182"/>
      <c r="L16" s="182"/>
    </row>
    <row r="17" spans="1:12" ht="21" customHeight="1">
      <c r="A17" s="264" t="s">
        <v>36</v>
      </c>
      <c r="B17" s="209">
        <v>14</v>
      </c>
      <c r="C17" s="209">
        <v>4</v>
      </c>
      <c r="D17" s="210">
        <v>62</v>
      </c>
      <c r="E17" s="264" t="s">
        <v>218</v>
      </c>
      <c r="F17" s="209">
        <v>24</v>
      </c>
      <c r="G17" s="209">
        <v>3</v>
      </c>
      <c r="H17" s="211">
        <v>79</v>
      </c>
      <c r="J17" s="182"/>
      <c r="K17" s="182"/>
      <c r="L17" s="182"/>
    </row>
    <row r="18" spans="1:12" ht="21" customHeight="1">
      <c r="A18" s="264" t="s">
        <v>220</v>
      </c>
      <c r="B18" s="209">
        <v>8</v>
      </c>
      <c r="C18" s="209">
        <v>1</v>
      </c>
      <c r="D18" s="210">
        <v>8</v>
      </c>
      <c r="E18" s="264" t="s">
        <v>222</v>
      </c>
      <c r="F18" s="209">
        <v>36</v>
      </c>
      <c r="G18" s="209">
        <v>2</v>
      </c>
      <c r="H18" s="211">
        <v>72</v>
      </c>
    </row>
    <row r="19" spans="1:12" ht="21" customHeight="1">
      <c r="A19" s="264" t="s">
        <v>219</v>
      </c>
      <c r="B19" s="209">
        <v>8</v>
      </c>
      <c r="C19" s="209">
        <v>1</v>
      </c>
      <c r="D19" s="210">
        <f>C19*B19</f>
        <v>8</v>
      </c>
      <c r="E19" s="264" t="s">
        <v>223</v>
      </c>
      <c r="F19" s="209">
        <v>70</v>
      </c>
      <c r="G19" s="209">
        <v>1</v>
      </c>
      <c r="H19" s="211">
        <v>80</v>
      </c>
    </row>
    <row r="20" spans="1:12" ht="21" customHeight="1">
      <c r="A20" s="264" t="s">
        <v>199</v>
      </c>
      <c r="B20" s="209">
        <v>26</v>
      </c>
      <c r="C20" s="209">
        <v>2</v>
      </c>
      <c r="D20" s="210">
        <v>52</v>
      </c>
      <c r="E20" s="264" t="s">
        <v>224</v>
      </c>
      <c r="F20" s="209">
        <v>12</v>
      </c>
      <c r="G20" s="209">
        <v>1</v>
      </c>
      <c r="H20" s="211">
        <v>16</v>
      </c>
    </row>
    <row r="21" spans="1:12" ht="21" customHeight="1">
      <c r="A21" s="264" t="s">
        <v>208</v>
      </c>
      <c r="B21" s="209">
        <v>14</v>
      </c>
      <c r="C21" s="209">
        <v>4</v>
      </c>
      <c r="D21" s="210">
        <v>62</v>
      </c>
      <c r="E21" s="264"/>
      <c r="F21" s="209"/>
      <c r="G21" s="209"/>
      <c r="H21" s="211"/>
    </row>
    <row r="22" spans="1:12" ht="21" customHeight="1">
      <c r="A22" s="264" t="s">
        <v>209</v>
      </c>
      <c r="B22" s="209">
        <v>54</v>
      </c>
      <c r="C22" s="209">
        <v>4</v>
      </c>
      <c r="D22" s="210">
        <v>236</v>
      </c>
      <c r="E22" s="274" t="s">
        <v>251</v>
      </c>
      <c r="F22" s="209">
        <v>100</v>
      </c>
      <c r="G22" s="209">
        <v>1</v>
      </c>
      <c r="H22" s="211">
        <v>100</v>
      </c>
    </row>
    <row r="23" spans="1:12" ht="21" customHeight="1">
      <c r="A23" s="264" t="s">
        <v>210</v>
      </c>
      <c r="B23" s="209">
        <v>54</v>
      </c>
      <c r="C23" s="209">
        <v>4</v>
      </c>
      <c r="D23" s="210">
        <v>236</v>
      </c>
      <c r="E23" s="264"/>
      <c r="F23" s="209"/>
      <c r="G23" s="209"/>
      <c r="H23" s="211"/>
    </row>
    <row r="24" spans="1:12" ht="21" customHeight="1">
      <c r="A24" s="264" t="s">
        <v>211</v>
      </c>
      <c r="B24" s="209">
        <v>14</v>
      </c>
      <c r="C24" s="209">
        <v>4</v>
      </c>
      <c r="D24" s="210">
        <v>62</v>
      </c>
      <c r="E24" s="264"/>
      <c r="F24" s="209"/>
      <c r="G24" s="209"/>
      <c r="H24" s="211"/>
    </row>
    <row r="25" spans="1:12" ht="21" customHeight="1">
      <c r="A25" s="264" t="s">
        <v>212</v>
      </c>
      <c r="B25" s="209">
        <v>26</v>
      </c>
      <c r="C25" s="209">
        <v>2</v>
      </c>
      <c r="D25" s="210">
        <v>54</v>
      </c>
      <c r="E25" s="264"/>
      <c r="F25" s="209"/>
      <c r="G25" s="209"/>
      <c r="H25" s="211"/>
    </row>
    <row r="26" spans="1:12" ht="21" customHeight="1">
      <c r="A26" s="264" t="s">
        <v>213</v>
      </c>
      <c r="B26" s="209">
        <v>54</v>
      </c>
      <c r="C26" s="209">
        <v>1</v>
      </c>
      <c r="D26" s="210">
        <v>61</v>
      </c>
      <c r="E26" s="264"/>
      <c r="F26" s="209"/>
      <c r="G26" s="209"/>
      <c r="H26" s="211"/>
    </row>
    <row r="27" spans="1:12" ht="21" customHeight="1">
      <c r="A27" s="264" t="s">
        <v>214</v>
      </c>
      <c r="B27" s="209">
        <v>54</v>
      </c>
      <c r="C27" s="209">
        <v>1</v>
      </c>
      <c r="D27" s="210">
        <v>61</v>
      </c>
      <c r="E27" s="264"/>
      <c r="F27" s="209"/>
      <c r="G27" s="209"/>
      <c r="H27" s="211"/>
    </row>
    <row r="28" spans="1:12" ht="21" customHeight="1">
      <c r="A28" s="264" t="s">
        <v>227</v>
      </c>
      <c r="B28" s="209">
        <v>54</v>
      </c>
      <c r="C28" s="209">
        <v>2</v>
      </c>
      <c r="D28" s="210">
        <v>118</v>
      </c>
      <c r="E28" s="264"/>
      <c r="F28" s="209"/>
      <c r="G28" s="209"/>
      <c r="H28" s="211"/>
    </row>
    <row r="29" spans="1:12" ht="21" customHeight="1">
      <c r="A29" s="264" t="s">
        <v>176</v>
      </c>
      <c r="B29" s="209">
        <v>55</v>
      </c>
      <c r="C29" s="209">
        <v>4</v>
      </c>
      <c r="D29" s="210">
        <v>232</v>
      </c>
      <c r="E29" s="264"/>
      <c r="F29" s="209"/>
      <c r="G29" s="209"/>
      <c r="H29" s="211"/>
    </row>
    <row r="30" spans="1:12" ht="21" customHeight="1">
      <c r="A30" s="264" t="s">
        <v>177</v>
      </c>
      <c r="B30" s="209">
        <v>24</v>
      </c>
      <c r="C30" s="209">
        <v>4</v>
      </c>
      <c r="D30" s="210">
        <v>102</v>
      </c>
      <c r="E30" s="264"/>
      <c r="F30" s="209"/>
      <c r="G30" s="209"/>
      <c r="H30" s="211"/>
    </row>
    <row r="31" spans="1:12" ht="21" customHeight="1">
      <c r="A31" s="264" t="s">
        <v>216</v>
      </c>
      <c r="B31" s="209">
        <v>14</v>
      </c>
      <c r="C31" s="209">
        <v>4</v>
      </c>
      <c r="D31" s="210">
        <v>62</v>
      </c>
      <c r="E31" s="264"/>
      <c r="F31" s="209"/>
      <c r="G31" s="209"/>
      <c r="H31" s="211"/>
    </row>
    <row r="32" spans="1:12" ht="21" customHeight="1">
      <c r="A32" s="264" t="s">
        <v>178</v>
      </c>
      <c r="B32" s="209">
        <v>49</v>
      </c>
      <c r="C32" s="209">
        <v>2</v>
      </c>
      <c r="D32" s="210">
        <v>109</v>
      </c>
      <c r="E32" s="264"/>
      <c r="F32" s="209"/>
      <c r="G32" s="209"/>
      <c r="H32" s="211"/>
    </row>
    <row r="33" spans="1:8" ht="21" customHeight="1">
      <c r="A33" s="264" t="s">
        <v>229</v>
      </c>
      <c r="B33" s="209">
        <v>36</v>
      </c>
      <c r="C33" s="209">
        <v>2</v>
      </c>
      <c r="D33" s="210">
        <v>72</v>
      </c>
      <c r="E33" s="264"/>
      <c r="F33" s="209"/>
      <c r="G33" s="209"/>
      <c r="H33" s="211"/>
    </row>
    <row r="34" spans="1:8" ht="21" customHeight="1">
      <c r="A34" s="264" t="s">
        <v>179</v>
      </c>
      <c r="B34" s="209">
        <v>55</v>
      </c>
      <c r="C34" s="209">
        <v>1</v>
      </c>
      <c r="D34" s="210">
        <v>58</v>
      </c>
      <c r="E34" s="264"/>
      <c r="F34" s="209"/>
      <c r="G34" s="209"/>
      <c r="H34" s="211"/>
    </row>
    <row r="35" spans="1:8" ht="21" customHeight="1">
      <c r="A35" s="264" t="s">
        <v>215</v>
      </c>
      <c r="B35" s="209">
        <v>14</v>
      </c>
      <c r="C35" s="209">
        <v>4</v>
      </c>
      <c r="D35" s="210">
        <v>62</v>
      </c>
      <c r="E35" s="264"/>
      <c r="F35" s="209">
        <v>50</v>
      </c>
      <c r="G35" s="209">
        <v>1</v>
      </c>
      <c r="H35" s="211">
        <v>20</v>
      </c>
    </row>
    <row r="36" spans="1:8" ht="21" customHeight="1" thickBot="1">
      <c r="A36" s="183"/>
      <c r="B36" s="212"/>
      <c r="C36" s="212"/>
      <c r="D36" s="213"/>
      <c r="E36" s="183"/>
      <c r="F36" s="212"/>
      <c r="G36" s="212"/>
      <c r="H36" s="214"/>
    </row>
    <row r="37" spans="1:8" ht="21" customHeight="1">
      <c r="A37" s="263"/>
      <c r="B37" s="263"/>
      <c r="C37" s="263"/>
      <c r="D37" s="263"/>
      <c r="H37" s="263"/>
    </row>
    <row r="38" spans="1:8" ht="21" customHeight="1">
      <c r="A38" s="263"/>
      <c r="B38" s="263"/>
      <c r="C38" s="263"/>
      <c r="D38" s="263"/>
      <c r="H38" s="263"/>
    </row>
    <row r="39" spans="1:8" ht="21" customHeight="1">
      <c r="A39" s="263"/>
      <c r="B39" s="263"/>
      <c r="C39" s="263"/>
      <c r="D39" s="263"/>
      <c r="H39" s="263"/>
    </row>
    <row r="40" spans="1:8" ht="21" customHeight="1">
      <c r="A40" s="263"/>
      <c r="B40" s="263"/>
      <c r="C40" s="263"/>
      <c r="D40" s="263"/>
      <c r="H40" s="263"/>
    </row>
    <row r="41" spans="1:8" ht="21" customHeight="1">
      <c r="A41" s="263"/>
      <c r="B41" s="263"/>
      <c r="C41" s="263"/>
      <c r="D41" s="263"/>
      <c r="H41" s="263"/>
    </row>
    <row r="42" spans="1:8" ht="21" customHeight="1">
      <c r="A42" s="263"/>
      <c r="B42" s="263"/>
      <c r="C42" s="263"/>
      <c r="D42" s="263"/>
      <c r="H42" s="263"/>
    </row>
    <row r="43" spans="1:8" ht="21" customHeight="1">
      <c r="A43" s="263"/>
      <c r="B43" s="263"/>
      <c r="C43" s="263"/>
      <c r="D43" s="263"/>
      <c r="H43" s="263"/>
    </row>
    <row r="44" spans="1:8" ht="21" customHeight="1">
      <c r="A44" s="263"/>
      <c r="B44" s="263"/>
      <c r="C44" s="263"/>
      <c r="D44" s="263"/>
      <c r="H44" s="263"/>
    </row>
    <row r="45" spans="1:8" ht="21" customHeight="1">
      <c r="A45" s="263"/>
      <c r="B45" s="263"/>
      <c r="C45" s="263"/>
      <c r="D45" s="263"/>
      <c r="H45" s="263"/>
    </row>
    <row r="46" spans="1:8" ht="21" customHeight="1">
      <c r="A46" s="263"/>
      <c r="B46" s="263"/>
      <c r="C46" s="263"/>
      <c r="D46" s="263"/>
      <c r="H46" s="263"/>
    </row>
    <row r="47" spans="1:8" ht="21" customHeight="1">
      <c r="A47" s="263"/>
      <c r="B47" s="263"/>
      <c r="C47" s="263"/>
      <c r="D47" s="263"/>
      <c r="H47" s="263"/>
    </row>
    <row r="48" spans="1:8" ht="21" customHeight="1">
      <c r="A48" s="263"/>
      <c r="B48" s="263"/>
      <c r="C48" s="263"/>
      <c r="D48" s="263"/>
      <c r="H48" s="263"/>
    </row>
    <row r="49" spans="1:8" ht="21" customHeight="1">
      <c r="A49" s="263"/>
      <c r="B49" s="263"/>
      <c r="C49" s="263"/>
      <c r="D49" s="263"/>
      <c r="H49" s="263"/>
    </row>
    <row r="50" spans="1:8" ht="21" customHeight="1">
      <c r="A50" s="263"/>
      <c r="B50" s="263"/>
      <c r="C50" s="263"/>
      <c r="D50" s="263"/>
      <c r="H50" s="263"/>
    </row>
    <row r="51" spans="1:8" ht="21" customHeight="1">
      <c r="A51" s="263"/>
      <c r="B51" s="263"/>
      <c r="C51" s="263"/>
      <c r="D51" s="263"/>
      <c r="H51" s="263"/>
    </row>
    <row r="52" spans="1:8" ht="21" customHeight="1">
      <c r="A52" s="263"/>
      <c r="B52" s="263"/>
      <c r="C52" s="263"/>
      <c r="D52" s="263"/>
      <c r="H52" s="263"/>
    </row>
    <row r="53" spans="1:8" ht="21" customHeight="1">
      <c r="A53" s="263"/>
      <c r="B53" s="263"/>
      <c r="C53" s="263"/>
      <c r="D53" s="263"/>
      <c r="H53" s="263"/>
    </row>
    <row r="54" spans="1:8" ht="21" customHeight="1">
      <c r="A54" s="263"/>
      <c r="B54" s="263"/>
      <c r="C54" s="263"/>
      <c r="D54" s="263"/>
      <c r="H54" s="263"/>
    </row>
    <row r="55" spans="1:8" ht="21" customHeight="1">
      <c r="A55" s="263"/>
      <c r="B55" s="263"/>
      <c r="C55" s="263"/>
      <c r="D55" s="263"/>
      <c r="H55" s="263"/>
    </row>
    <row r="56" spans="1:8" ht="21" customHeight="1">
      <c r="A56" s="263"/>
      <c r="B56" s="263"/>
      <c r="C56" s="263"/>
      <c r="D56" s="263"/>
      <c r="H56" s="263"/>
    </row>
  </sheetData>
  <pageMargins left="0.98425196850393704" right="0.33" top="0.23622047244094491" bottom="0.28000000000000003" header="0.23622047244094491" footer="0.37"/>
  <pageSetup paperSize="9" orientation="portrait" horizontalDpi="300" verticalDpi="300" r:id="rId1"/>
  <headerFooter alignWithMargins="0">
    <oddFooter>&amp;L
      &amp;"Verdana,Regular"&amp;8Sheet &amp;P/&amp;N&amp;R&amp;8
&amp;"Verdana,Regular"&amp;A  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O1171"/>
  <sheetViews>
    <sheetView showZeros="0" tabSelected="1" topLeftCell="A7" zoomScale="95" zoomScaleNormal="95" workbookViewId="0">
      <selection activeCell="J32" sqref="J32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 t="s">
        <v>232</v>
      </c>
      <c r="B1" s="2"/>
      <c r="C1" s="3"/>
      <c r="D1" s="4"/>
      <c r="E1" s="18"/>
      <c r="F1" s="19"/>
      <c r="I1" s="4"/>
      <c r="J1" s="4"/>
      <c r="K1" s="6" t="s">
        <v>245</v>
      </c>
      <c r="L1" s="266" t="s">
        <v>232</v>
      </c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287" t="str">
        <f>Project_Name</f>
        <v>Fife-JV</v>
      </c>
      <c r="D4" s="281"/>
      <c r="E4" s="281"/>
      <c r="F4" s="281"/>
      <c r="G4" s="281"/>
      <c r="I4" s="33" t="s">
        <v>14</v>
      </c>
      <c r="J4" s="288" t="str">
        <f>Prep_By</f>
        <v>N Holmes</v>
      </c>
      <c r="K4" s="289"/>
      <c r="L4" s="31" t="str">
        <f t="shared" si="0"/>
        <v>Project Name:</v>
      </c>
      <c r="N4" s="287" t="str">
        <f>Project_Name</f>
        <v>Fife-JV</v>
      </c>
      <c r="O4" s="281"/>
      <c r="P4" s="281"/>
      <c r="Q4" s="281"/>
      <c r="T4" s="33" t="str">
        <f>I4</f>
        <v>Prepared By:</v>
      </c>
      <c r="U4" s="288" t="str">
        <f>Prep_By</f>
        <v>N Holmes</v>
      </c>
      <c r="V4" s="289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287" t="str">
        <f>Project_No</f>
        <v>MW502</v>
      </c>
      <c r="D5" s="281"/>
      <c r="E5" s="281"/>
      <c r="F5" s="281"/>
      <c r="G5" s="281"/>
      <c r="I5" s="33" t="s">
        <v>18</v>
      </c>
      <c r="J5" s="290" t="str">
        <f>Date</f>
        <v>26.06.10</v>
      </c>
      <c r="K5" s="289"/>
      <c r="L5" s="31" t="str">
        <f t="shared" si="0"/>
        <v>Project Nº:</v>
      </c>
      <c r="N5" s="287" t="str">
        <f>Project_No</f>
        <v>MW502</v>
      </c>
      <c r="O5" s="281"/>
      <c r="P5" s="281"/>
      <c r="Q5" s="281"/>
      <c r="T5" s="33" t="str">
        <f>I5</f>
        <v>Date Prepared:</v>
      </c>
      <c r="U5" s="290" t="str">
        <f>Date</f>
        <v>26.06.10</v>
      </c>
      <c r="V5" s="289"/>
      <c r="AD5" s="22" t="s">
        <v>25</v>
      </c>
      <c r="AF5" s="40"/>
      <c r="AG5" s="41"/>
      <c r="AH5" s="42"/>
      <c r="AI5" s="5" t="s">
        <v>255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287" t="str">
        <f>Area_Zone_Level</f>
        <v>Level 00 - DB Zone E1|0|BL</v>
      </c>
      <c r="D6" s="281"/>
      <c r="E6" s="281"/>
      <c r="F6" s="281"/>
      <c r="G6" s="281"/>
      <c r="I6" s="33" t="s">
        <v>24</v>
      </c>
      <c r="J6" s="288" t="s">
        <v>243</v>
      </c>
      <c r="K6" s="289"/>
      <c r="L6" s="31" t="str">
        <f t="shared" si="0"/>
        <v>Area/Zone/Level:</v>
      </c>
      <c r="N6" s="287" t="str">
        <f>Area_Zone_Level</f>
        <v>Level 00 - DB Zone E1|0|BL</v>
      </c>
      <c r="O6" s="281"/>
      <c r="P6" s="281"/>
      <c r="Q6" s="281"/>
      <c r="T6" s="33" t="str">
        <f>I6</f>
        <v>Revision:</v>
      </c>
      <c r="U6" s="288" t="str">
        <f>J6</f>
        <v>C1</v>
      </c>
      <c r="V6" s="289"/>
      <c r="AD6" s="22" t="s">
        <v>34</v>
      </c>
      <c r="AF6" s="40"/>
      <c r="AG6" s="41"/>
      <c r="AH6" s="53" t="s">
        <v>35</v>
      </c>
      <c r="AI6" s="54">
        <f>IF(AND(homerun_csa=1.5,homerun_tp=70),16,IF(AND(homerun_csa=2.5,homerun_tp=70),25,IF(AND(homerun_csa=2.5,homerun_tp=90),28,IF(AND(homerun_csa=4,homerun_tp=70),32,IF(AND(homerun_csa=4,homerun_tp=90),37,"ERR")))))</f>
        <v>25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16</v>
      </c>
      <c r="AK6" s="54">
        <f>IF(AND(SD_csa=1.5,SD_tp=70),16,IF(AND(SD_csa=2.5,SD_tp=70),25,IF(AND(SD_csa=2.5,SD_tp=90),28,IF(AND(SD_csa=4,SD_tp=70),32,IF(AND(SD_csa=4,SD_tp=90),37,"ERR")))))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287" t="str">
        <f>Drawing_No</f>
        <v>CD-MS-02-L(62)1-XX-006</v>
      </c>
      <c r="D7" s="281"/>
      <c r="E7" s="281"/>
      <c r="F7" s="281"/>
      <c r="G7" s="281"/>
      <c r="I7" s="33" t="s">
        <v>33</v>
      </c>
      <c r="J7" s="288"/>
      <c r="K7" s="289"/>
      <c r="L7" s="31" t="str">
        <f t="shared" si="0"/>
        <v>Drawing Nº:</v>
      </c>
      <c r="N7" s="287" t="str">
        <f>Drawing_No</f>
        <v>CD-MS-02-L(62)1-XX-006</v>
      </c>
      <c r="O7" s="281"/>
      <c r="P7" s="281"/>
      <c r="Q7" s="281"/>
      <c r="T7" s="33" t="str">
        <f>I7</f>
        <v>Checked By:</v>
      </c>
      <c r="U7" s="288">
        <f>J7</f>
        <v>0</v>
      </c>
      <c r="V7" s="289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292" t="str">
        <f>Service</f>
        <v>Lighting</v>
      </c>
      <c r="D8" s="293"/>
      <c r="E8" s="293"/>
      <c r="F8" s="281"/>
      <c r="G8" s="281"/>
      <c r="J8" s="294" t="s">
        <v>242</v>
      </c>
      <c r="K8" s="295"/>
      <c r="L8" s="31" t="str">
        <f t="shared" si="0"/>
        <v>Service:</v>
      </c>
      <c r="M8" s="7"/>
      <c r="N8" s="292" t="str">
        <f>Service</f>
        <v>Lighting</v>
      </c>
      <c r="O8" s="293"/>
      <c r="P8" s="293"/>
      <c r="Q8" s="19"/>
      <c r="U8" s="294" t="str">
        <f>J8</f>
        <v>UCVD May 2010 V4.3</v>
      </c>
      <c r="V8" s="295"/>
      <c r="AB8" s="17"/>
      <c r="AE8" s="21"/>
      <c r="AF8" s="40"/>
      <c r="AG8" s="41"/>
      <c r="AH8" s="53" t="s">
        <v>41</v>
      </c>
      <c r="AI8" s="54">
        <f>IF(homerun_csa=1.5,32,IF(homerun_csa=2.5,19,IF(homerun_csa=4,12,"ERR")))</f>
        <v>19</v>
      </c>
      <c r="AJ8" s="54">
        <f>IF(extender_csa=1.5,32,IF(extender_csa=2.5,19,IF(extender_csa=4,12,"ERR")))</f>
        <v>32</v>
      </c>
      <c r="AK8" s="54">
        <f>IF(SD_csa=1.5,32,IF(SD_csa=2.5,19,IF(SD_csa=4,12,"ERR")))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296" t="str">
        <f>DB_Ref</f>
        <v>E5|1|AL</v>
      </c>
      <c r="D10" s="297"/>
      <c r="E10" s="284"/>
      <c r="L10" s="18" t="str">
        <f>A10</f>
        <v>DB Ref:</v>
      </c>
      <c r="M10" s="57"/>
      <c r="N10" s="298" t="str">
        <f>C10</f>
        <v>E5|1|AL</v>
      </c>
      <c r="O10" s="299"/>
      <c r="P10" s="300"/>
      <c r="Q10" s="56"/>
      <c r="R10" s="57"/>
      <c r="U10" s="57"/>
      <c r="V10" s="57"/>
      <c r="AD10" s="22"/>
      <c r="AH10" s="53" t="s">
        <v>48</v>
      </c>
      <c r="AI10" s="54">
        <f>IF(homerun_csa=1.5,13.3,IF(homerun_csa=2.5,7.98,IF(homerun_csa=4,5.6,"ERR")))</f>
        <v>7.98</v>
      </c>
      <c r="AJ10" s="61">
        <f>IF(extender_csa=1.5,13.3,IF(extender_csa=2.5,7.98,IF(extender_csa=4,5.6,"ERR")))</f>
        <v>13.3</v>
      </c>
      <c r="AK10" s="61">
        <f>IF(SD_csa=1.5,13.3,IF(SD_csa=2.5,7.98,IF(SD_csa=4,5.6,"ERR")))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271" t="str">
        <f>DB_Ref&amp;"|"</f>
        <v>E5|1|AL|</v>
      </c>
      <c r="D11" s="272" t="s">
        <v>250</v>
      </c>
      <c r="E11" s="270"/>
      <c r="L11" s="18" t="str">
        <f>A11</f>
        <v>MDB Nº:</v>
      </c>
      <c r="M11" s="57"/>
      <c r="N11" s="298" t="str">
        <f>C11</f>
        <v>E5|1|AL|</v>
      </c>
      <c r="O11" s="299"/>
      <c r="P11" s="300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296" t="str">
        <f ca="1">C10&amp;"|"&amp;MID(CELL("filename",A1),FIND("]",CELL("filename",A1))+1,32)</f>
        <v>E5|1|AL|7L3a</v>
      </c>
      <c r="D12" s="297"/>
      <c r="E12" s="284"/>
      <c r="L12" s="18" t="str">
        <f>A12</f>
        <v>Circuit Ref:</v>
      </c>
      <c r="M12" s="57"/>
      <c r="N12" s="296" t="str">
        <f ca="1">C12</f>
        <v>E5|1|AL|7L3a</v>
      </c>
      <c r="O12" s="301"/>
      <c r="P12" s="302"/>
      <c r="Q12" s="56"/>
      <c r="R12" s="57"/>
      <c r="U12" s="57"/>
      <c r="V12" s="57"/>
      <c r="AH12" s="34" t="s">
        <v>59</v>
      </c>
      <c r="AI12" s="71">
        <f>homerun_Z1*mdb_CPD_R_Factor</f>
        <v>9.9590399999999999</v>
      </c>
      <c r="AJ12" s="71">
        <f>extender_Z1*extender_CPD_R_Factor</f>
        <v>16.598400000000002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9.9590399999999999</v>
      </c>
      <c r="AJ13" s="200">
        <f>Extender_ZinstPH</f>
        <v>16.598400000000002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254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1.08</v>
      </c>
      <c r="E15" s="58" t="s">
        <v>46</v>
      </c>
      <c r="G15" s="69" t="s">
        <v>93</v>
      </c>
      <c r="I15" s="57"/>
      <c r="J15" s="153">
        <v>12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Source_Nominal_V-'7L3a'!AI47</f>
        <v>227.51599999999999</v>
      </c>
      <c r="E16" s="56" t="s">
        <v>44</v>
      </c>
      <c r="G16" s="55" t="s">
        <v>96</v>
      </c>
      <c r="J16" s="154">
        <v>2.5</v>
      </c>
      <c r="K16" s="55" t="s">
        <v>97</v>
      </c>
      <c r="L16" s="73" t="s">
        <v>68</v>
      </c>
      <c r="M16" s="73" t="s">
        <v>68</v>
      </c>
      <c r="N16" s="74" t="s">
        <v>69</v>
      </c>
      <c r="O16" s="303" t="s">
        <v>70</v>
      </c>
      <c r="P16" s="304"/>
      <c r="Q16" s="275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148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70</v>
      </c>
      <c r="K18" s="56" t="s">
        <v>207</v>
      </c>
      <c r="L18" s="225" t="s">
        <v>85</v>
      </c>
      <c r="M18" s="225" t="s">
        <v>86</v>
      </c>
      <c r="N18" s="226">
        <f>D23</f>
        <v>25</v>
      </c>
      <c r="O18" s="227" t="s">
        <v>86</v>
      </c>
      <c r="P18" s="85">
        <f>ROUND((P19),2)</f>
        <v>6.13</v>
      </c>
      <c r="Q18" s="84">
        <f>ROUND((((homerun_Vd)*P18*N18/1000)),4)</f>
        <v>2.9117999999999999</v>
      </c>
      <c r="R18" s="86">
        <f>Q18</f>
        <v>2.9117999999999999</v>
      </c>
      <c r="S18" s="87">
        <f t="shared" ref="S18:S45" si="3">ROUNDUP((100/nominal_V*R18),2)</f>
        <v>1.27</v>
      </c>
      <c r="T18" s="85">
        <f>ROUND((Ze+((homerun_PELI*N18/1000))),2)</f>
        <v>0.56999999999999995</v>
      </c>
      <c r="U18" s="88">
        <f>ROUNDUP((nominal_V/((nominal_V/Ipsc)+(((homerun_R20c*mdb_CPD_R_Factor*N18*2)/1000)))),0)</f>
        <v>448</v>
      </c>
      <c r="V18" s="57"/>
      <c r="X18" s="89">
        <f>T18</f>
        <v>0.56999999999999995</v>
      </c>
      <c r="Y18" s="89">
        <f>U18</f>
        <v>448</v>
      </c>
      <c r="Z18" s="89">
        <f>S18</f>
        <v>1.27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25</v>
      </c>
      <c r="K19" s="56" t="s">
        <v>56</v>
      </c>
      <c r="L19" s="243" t="s">
        <v>202</v>
      </c>
      <c r="M19" s="228">
        <v>1</v>
      </c>
      <c r="N19" s="229">
        <v>2.5</v>
      </c>
      <c r="O19" s="230">
        <f t="shared" ref="O19:O24" si="4">((Lum_Q*1))/230</f>
        <v>0.47391304347826085</v>
      </c>
      <c r="P19" s="231">
        <f t="shared" ref="P19:P45" si="5">ROUND((P20+O19),2)</f>
        <v>6.13</v>
      </c>
      <c r="Q19" s="90">
        <f t="shared" ref="Q19:Q45" si="6">IF(L19="A",(ROUND((((extender_Vd*P19*N19)/1000)),4)),IF(L19="D",(ROUND((((SD_Vd*P19*N19)/1000)),4)),IF(L19="F",(ROUND((((SD_Vd*P19*N19)/1000)),4)),IF(L19="U",(ROUND((((SD_Vd*P19*N19)/1000)),4)),0))))</f>
        <v>0.4904</v>
      </c>
      <c r="R19" s="91">
        <f t="shared" ref="R19:R45" si="7">IF(M19=0,0,IF(M19&gt;0.5,Q19+R18,err))</f>
        <v>3.4022000000000001</v>
      </c>
      <c r="S19" s="87">
        <f t="shared" si="3"/>
        <v>1.48</v>
      </c>
      <c r="T19" s="92">
        <f t="shared" ref="T19:T45" si="8">ROUNDUP((IF(M19=0,0,IF(M19&gt;0.5,(T18+((extender_PELI*N19)/1000))))),2)</f>
        <v>0.66</v>
      </c>
      <c r="U19" s="93">
        <f t="shared" ref="U19:U45" si="9">IF(M19=0,0,IF(M19&gt;0.5,(nominal_V/((nominal_V/U18)+((extender_R20cPHA*extender_CPD_R_Factor*N19*2)/1000)))))</f>
        <v>385.65700863344716</v>
      </c>
      <c r="V19" s="57"/>
      <c r="X19" s="94">
        <f t="shared" ref="X19:X45" si="10">IF(M19=0,0,IF(M19&gt;0.5,(T19-T18)))</f>
        <v>9.000000000000008E-2</v>
      </c>
      <c r="Y19" s="94">
        <f t="shared" ref="Y19:Y45" si="11">IF(M19=0,0,IF(M19&gt;0.5,(U19-U18)))</f>
        <v>-62.342991366552837</v>
      </c>
      <c r="Z19" s="94">
        <f t="shared" ref="Z19:Z45" si="12">IF(M19=0,0,IF(M19&gt;0.5,(S19-S18)))</f>
        <v>0.20999999999999996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19</v>
      </c>
      <c r="K20" s="237" t="s">
        <v>104</v>
      </c>
      <c r="L20" s="244" t="s">
        <v>202</v>
      </c>
      <c r="M20" s="228">
        <v>2</v>
      </c>
      <c r="N20" s="229">
        <v>4</v>
      </c>
      <c r="O20" s="230">
        <f t="shared" si="4"/>
        <v>0.47391304347826085</v>
      </c>
      <c r="P20" s="231">
        <f t="shared" si="5"/>
        <v>5.66</v>
      </c>
      <c r="Q20" s="90">
        <f t="shared" si="6"/>
        <v>0.72450000000000003</v>
      </c>
      <c r="R20" s="91">
        <f t="shared" si="7"/>
        <v>4.1267000000000005</v>
      </c>
      <c r="S20" s="87">
        <f t="shared" si="3"/>
        <v>1.8</v>
      </c>
      <c r="T20" s="92">
        <f t="shared" si="8"/>
        <v>0.8</v>
      </c>
      <c r="U20" s="93">
        <f t="shared" si="9"/>
        <v>315.42623959181572</v>
      </c>
      <c r="V20" s="57"/>
      <c r="X20" s="94">
        <f t="shared" si="10"/>
        <v>0.14000000000000001</v>
      </c>
      <c r="Y20" s="94">
        <f t="shared" si="11"/>
        <v>-70.230769041631447</v>
      </c>
      <c r="Z20" s="94">
        <f t="shared" si="12"/>
        <v>0.32000000000000006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7.98</v>
      </c>
      <c r="K21" s="238" t="s">
        <v>106</v>
      </c>
      <c r="L21" s="244" t="s">
        <v>202</v>
      </c>
      <c r="M21" s="228">
        <v>3</v>
      </c>
      <c r="N21" s="229">
        <v>4</v>
      </c>
      <c r="O21" s="230">
        <f t="shared" si="4"/>
        <v>0.47391304347826085</v>
      </c>
      <c r="P21" s="231">
        <f t="shared" si="5"/>
        <v>5.19</v>
      </c>
      <c r="Q21" s="90">
        <f t="shared" si="6"/>
        <v>0.6643</v>
      </c>
      <c r="R21" s="91">
        <f t="shared" si="7"/>
        <v>4.7910000000000004</v>
      </c>
      <c r="S21" s="87">
        <f t="shared" si="3"/>
        <v>2.09</v>
      </c>
      <c r="T21" s="92">
        <f t="shared" si="8"/>
        <v>0.94000000000000006</v>
      </c>
      <c r="U21" s="93">
        <f t="shared" si="9"/>
        <v>266.83395774689251</v>
      </c>
      <c r="V21" s="57"/>
      <c r="X21" s="94">
        <f t="shared" si="10"/>
        <v>0.14000000000000001</v>
      </c>
      <c r="Y21" s="94">
        <f t="shared" si="11"/>
        <v>-48.592281844923207</v>
      </c>
      <c r="Z21" s="94">
        <f t="shared" si="12"/>
        <v>0.28999999999999981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19.920000000000002</v>
      </c>
      <c r="K22" s="238" t="s">
        <v>106</v>
      </c>
      <c r="L22" s="244" t="s">
        <v>202</v>
      </c>
      <c r="M22" s="228">
        <v>4</v>
      </c>
      <c r="N22" s="229">
        <v>4</v>
      </c>
      <c r="O22" s="230">
        <f t="shared" si="4"/>
        <v>0.47391304347826085</v>
      </c>
      <c r="P22" s="231">
        <f t="shared" si="5"/>
        <v>4.72</v>
      </c>
      <c r="Q22" s="90">
        <f t="shared" si="6"/>
        <v>0.60419999999999996</v>
      </c>
      <c r="R22" s="91">
        <f t="shared" si="7"/>
        <v>5.3952</v>
      </c>
      <c r="S22" s="87">
        <f t="shared" si="3"/>
        <v>2.3499999999999996</v>
      </c>
      <c r="T22" s="92">
        <f t="shared" si="8"/>
        <v>1.08</v>
      </c>
      <c r="U22" s="93">
        <f t="shared" si="9"/>
        <v>231.21469631629896</v>
      </c>
      <c r="V22" s="57"/>
      <c r="X22" s="94">
        <f t="shared" si="10"/>
        <v>0.14000000000000001</v>
      </c>
      <c r="Y22" s="94">
        <f t="shared" si="11"/>
        <v>-35.619261430593554</v>
      </c>
      <c r="Z22" s="94">
        <f t="shared" si="12"/>
        <v>0.25999999999999979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25</v>
      </c>
      <c r="E23" s="56" t="s">
        <v>51</v>
      </c>
      <c r="G23" s="55" t="s">
        <v>64</v>
      </c>
      <c r="I23" s="57"/>
      <c r="J23" s="110">
        <f>AQ58</f>
        <v>448</v>
      </c>
      <c r="K23" s="237" t="s">
        <v>56</v>
      </c>
      <c r="L23" s="244" t="s">
        <v>202</v>
      </c>
      <c r="M23" s="228">
        <v>5</v>
      </c>
      <c r="N23" s="229">
        <v>3.2</v>
      </c>
      <c r="O23" s="230">
        <f t="shared" si="4"/>
        <v>0.47391304347826085</v>
      </c>
      <c r="P23" s="231">
        <f t="shared" si="5"/>
        <v>4.25</v>
      </c>
      <c r="Q23" s="90">
        <f t="shared" si="6"/>
        <v>0.43519999999999998</v>
      </c>
      <c r="R23" s="91">
        <f t="shared" si="7"/>
        <v>5.8304</v>
      </c>
      <c r="S23" s="87">
        <f t="shared" si="3"/>
        <v>2.5399999999999996</v>
      </c>
      <c r="T23" s="92">
        <f t="shared" si="8"/>
        <v>1.19</v>
      </c>
      <c r="U23" s="93">
        <f t="shared" si="9"/>
        <v>208.90551168931958</v>
      </c>
      <c r="V23" s="57"/>
      <c r="X23" s="94">
        <f t="shared" si="10"/>
        <v>0.10999999999999988</v>
      </c>
      <c r="Y23" s="94">
        <f t="shared" si="11"/>
        <v>-22.309184626979373</v>
      </c>
      <c r="Z23" s="94">
        <f t="shared" si="12"/>
        <v>0.18999999999999995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2.92</v>
      </c>
      <c r="E24" s="58" t="s">
        <v>46</v>
      </c>
      <c r="G24" s="55" t="s">
        <v>110</v>
      </c>
      <c r="I24" s="57"/>
      <c r="J24" s="110">
        <f>AQ76</f>
        <v>980</v>
      </c>
      <c r="K24" s="237"/>
      <c r="L24" s="244" t="s">
        <v>202</v>
      </c>
      <c r="M24" s="228">
        <v>6</v>
      </c>
      <c r="N24" s="229">
        <v>2.2000000000000002</v>
      </c>
      <c r="O24" s="230">
        <f t="shared" si="4"/>
        <v>0.47391304347826085</v>
      </c>
      <c r="P24" s="231">
        <f t="shared" si="5"/>
        <v>3.78</v>
      </c>
      <c r="Q24" s="90">
        <f t="shared" si="6"/>
        <v>0.2661</v>
      </c>
      <c r="R24" s="91">
        <f t="shared" si="7"/>
        <v>6.0964999999999998</v>
      </c>
      <c r="S24" s="87">
        <f t="shared" si="3"/>
        <v>2.6599999999999997</v>
      </c>
      <c r="T24" s="92">
        <f t="shared" si="8"/>
        <v>1.27</v>
      </c>
      <c r="U24" s="93">
        <f t="shared" si="9"/>
        <v>195.9098825443107</v>
      </c>
      <c r="V24" s="57"/>
      <c r="X24" s="94">
        <f t="shared" si="10"/>
        <v>8.0000000000000071E-2</v>
      </c>
      <c r="Y24" s="94">
        <f t="shared" si="11"/>
        <v>-12.995629145008877</v>
      </c>
      <c r="Z24" s="94">
        <f t="shared" si="12"/>
        <v>0.12000000000000011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127806.25</v>
      </c>
      <c r="K25" s="237"/>
      <c r="L25" s="244" t="s">
        <v>202</v>
      </c>
      <c r="M25" s="228">
        <v>7</v>
      </c>
      <c r="N25" s="229">
        <v>1.7</v>
      </c>
      <c r="O25" s="230">
        <f>((Lum_Q*4))/230</f>
        <v>1.8956521739130434</v>
      </c>
      <c r="P25" s="231">
        <f t="shared" si="5"/>
        <v>3.31</v>
      </c>
      <c r="Q25" s="90">
        <f t="shared" si="6"/>
        <v>0.18010000000000001</v>
      </c>
      <c r="R25" s="91">
        <f t="shared" si="7"/>
        <v>6.2766000000000002</v>
      </c>
      <c r="S25" s="87">
        <f t="shared" si="3"/>
        <v>2.73</v>
      </c>
      <c r="T25" s="92">
        <f t="shared" si="8"/>
        <v>1.33</v>
      </c>
      <c r="U25" s="93">
        <f t="shared" si="9"/>
        <v>186.92443470358899</v>
      </c>
      <c r="V25" s="57"/>
      <c r="X25" s="94">
        <f t="shared" si="10"/>
        <v>6.0000000000000053E-2</v>
      </c>
      <c r="Y25" s="94">
        <f t="shared" si="11"/>
        <v>-8.9854478407217186</v>
      </c>
      <c r="Z25" s="94">
        <f t="shared" si="12"/>
        <v>7.0000000000000284E-2</v>
      </c>
      <c r="AH25" s="53" t="s">
        <v>102</v>
      </c>
      <c r="AI25" s="106">
        <f>IF(ccts_mdb=1,1,IF(ccts_mdb=2,0.86,IF(ccts_mdb=3,0.81,IF(ccts_mdb=4,0.77,IF(ccts_mdb=5,0.75,IF(ccts_mdb=6,0.74,IF(ccts_mdb=7,0.73,IF(ccts_mdb=8,0.73,0))))))))</f>
        <v>0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202</v>
      </c>
      <c r="M26" s="228">
        <v>8</v>
      </c>
      <c r="N26" s="229">
        <v>1.2</v>
      </c>
      <c r="O26" s="230">
        <f>((Lum_Q*1))/230</f>
        <v>0.47391304347826085</v>
      </c>
      <c r="P26" s="231">
        <f t="shared" si="5"/>
        <v>1.41</v>
      </c>
      <c r="Q26" s="90">
        <f t="shared" si="6"/>
        <v>5.4100000000000002E-2</v>
      </c>
      <c r="R26" s="91">
        <f t="shared" si="7"/>
        <v>6.3307000000000002</v>
      </c>
      <c r="S26" s="87">
        <f t="shared" si="3"/>
        <v>2.76</v>
      </c>
      <c r="T26" s="92">
        <f t="shared" si="8"/>
        <v>1.37</v>
      </c>
      <c r="U26" s="93">
        <f t="shared" si="9"/>
        <v>181.06245758696278</v>
      </c>
      <c r="V26" s="57"/>
      <c r="X26" s="94">
        <f t="shared" si="10"/>
        <v>4.0000000000000036E-2</v>
      </c>
      <c r="Y26" s="94">
        <f t="shared" si="11"/>
        <v>-5.8619771166262069</v>
      </c>
      <c r="Z26" s="94">
        <f t="shared" si="12"/>
        <v>2.9999999999999805E-2</v>
      </c>
      <c r="AI26" s="11">
        <f>IF(ccts_mdb=9,0.72,IF(ccts_mdb=10,0.71,IF(ccts_mdb=11,0.7,IF(ccts_mdb=12,0.7,IF(ccts_mdb&gt;12,0.7,0)))))</f>
        <v>0.7</v>
      </c>
      <c r="AJ26" s="11">
        <f>IF(ccts_extender=9,0.72,IF(ccts_extender=10,0.71,IF(ccts_extender=11,0.7,IF(ccts_extender=12,0.7,IF(ccts_extender&gt;12,0.7,0)))))</f>
        <v>0.7</v>
      </c>
      <c r="AK26" s="11">
        <f>IF(ccts_extender=9,0.72,IF(ccts_extender=10,0.71,IF(ccts_extender=11,0.7,IF(ccts_extender=12,0.7,IF(ccts_extender&gt;12,0.7,0)))))</f>
        <v>0.7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 t="s">
        <v>202</v>
      </c>
      <c r="M27" s="228">
        <v>9</v>
      </c>
      <c r="N27" s="229">
        <v>4</v>
      </c>
      <c r="O27" s="230">
        <f>((Lum_Q*1))/230</f>
        <v>0.47391304347826085</v>
      </c>
      <c r="P27" s="231">
        <f t="shared" si="5"/>
        <v>0.94</v>
      </c>
      <c r="Q27" s="90">
        <f t="shared" si="6"/>
        <v>0.1203</v>
      </c>
      <c r="R27" s="91">
        <f t="shared" si="7"/>
        <v>6.4510000000000005</v>
      </c>
      <c r="S27" s="87">
        <f t="shared" si="3"/>
        <v>2.8099999999999996</v>
      </c>
      <c r="T27" s="92">
        <f t="shared" si="8"/>
        <v>1.51</v>
      </c>
      <c r="U27" s="93">
        <f t="shared" si="9"/>
        <v>163.92658659615188</v>
      </c>
      <c r="V27" s="57"/>
      <c r="X27" s="94">
        <f t="shared" si="10"/>
        <v>0.1399999999999999</v>
      </c>
      <c r="Y27" s="94">
        <f t="shared" si="11"/>
        <v>-17.135870990810901</v>
      </c>
      <c r="Z27" s="94">
        <f t="shared" si="12"/>
        <v>4.9999999999999822E-2</v>
      </c>
      <c r="AH27" s="53" t="s">
        <v>107</v>
      </c>
      <c r="AI27" s="106">
        <f>SUM(AI25:AI26)</f>
        <v>0.7</v>
      </c>
      <c r="AJ27" s="106">
        <f>SUM(AJ25:AJ26)</f>
        <v>0.7</v>
      </c>
      <c r="AK27" s="106">
        <f>SUM(AK25:AK26)</f>
        <v>1.7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 t="s">
        <v>202</v>
      </c>
      <c r="M28" s="228">
        <v>10</v>
      </c>
      <c r="N28" s="229">
        <v>4</v>
      </c>
      <c r="O28" s="230">
        <f>((Lum_Q*1))/230</f>
        <v>0.47391304347826085</v>
      </c>
      <c r="P28" s="231">
        <f t="shared" si="5"/>
        <v>0.47</v>
      </c>
      <c r="Q28" s="90">
        <f t="shared" si="6"/>
        <v>6.0199999999999997E-2</v>
      </c>
      <c r="R28" s="91">
        <f t="shared" si="7"/>
        <v>6.5112000000000005</v>
      </c>
      <c r="S28" s="87">
        <f t="shared" si="3"/>
        <v>2.84</v>
      </c>
      <c r="T28" s="92">
        <f t="shared" si="8"/>
        <v>1.65</v>
      </c>
      <c r="U28" s="93">
        <f t="shared" si="9"/>
        <v>149.75378877271623</v>
      </c>
      <c r="V28" s="57"/>
      <c r="X28" s="94">
        <f t="shared" si="10"/>
        <v>0.1399999999999999</v>
      </c>
      <c r="Y28" s="94">
        <f t="shared" si="11"/>
        <v>-14.172797823435644</v>
      </c>
      <c r="Z28" s="94">
        <f t="shared" si="12"/>
        <v>3.0000000000000249E-2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200</v>
      </c>
      <c r="I29" s="57"/>
      <c r="J29" s="96"/>
      <c r="K29" s="237"/>
      <c r="L29" s="244"/>
      <c r="M29" s="228"/>
      <c r="N29" s="229"/>
      <c r="O29" s="230"/>
      <c r="P29" s="231">
        <f t="shared" si="5"/>
        <v>0</v>
      </c>
      <c r="Q29" s="90">
        <f t="shared" si="6"/>
        <v>0</v>
      </c>
      <c r="R29" s="91">
        <f t="shared" si="7"/>
        <v>0</v>
      </c>
      <c r="S29" s="87">
        <f t="shared" si="3"/>
        <v>0</v>
      </c>
      <c r="T29" s="92">
        <f t="shared" si="8"/>
        <v>0</v>
      </c>
      <c r="U29" s="93">
        <f t="shared" si="9"/>
        <v>0</v>
      </c>
      <c r="V29" s="57"/>
      <c r="X29" s="94">
        <f t="shared" si="10"/>
        <v>0</v>
      </c>
      <c r="Y29" s="94">
        <f t="shared" si="11"/>
        <v>0</v>
      </c>
      <c r="Z29" s="94">
        <f t="shared" si="12"/>
        <v>0</v>
      </c>
      <c r="AH29" s="53" t="s">
        <v>109</v>
      </c>
      <c r="AI29" s="106">
        <f>In/Homerun_Cg</f>
        <v>14.285714285714286</v>
      </c>
      <c r="AJ29" s="106">
        <f>In/extender_Cg</f>
        <v>14.285714285714286</v>
      </c>
      <c r="AK29" s="106">
        <f>In/SD_Cg</f>
        <v>5.882352941176471</v>
      </c>
      <c r="AL29" s="5"/>
      <c r="AM29" s="108"/>
      <c r="AN29" s="108"/>
      <c r="AO29" s="108"/>
      <c r="AP29" s="108"/>
      <c r="AQ29" s="32">
        <f t="shared" ref="AQ29:AY29" si="13">IF(AND(In=6,cpd_type="B"),AQ4,IF(AND(In=6,cpd_type="C"),AQ5,IF(AND(In=6,cpd_type="D"),AQ6,0)))</f>
        <v>0</v>
      </c>
      <c r="AR29" s="32">
        <f t="shared" si="13"/>
        <v>0</v>
      </c>
      <c r="AS29" s="32">
        <f t="shared" si="13"/>
        <v>0</v>
      </c>
      <c r="AT29" s="32">
        <f t="shared" si="13"/>
        <v>0</v>
      </c>
      <c r="AU29" s="32">
        <f t="shared" si="13"/>
        <v>0</v>
      </c>
      <c r="AV29" s="32">
        <f t="shared" si="13"/>
        <v>0</v>
      </c>
      <c r="AW29" s="32">
        <f t="shared" si="13"/>
        <v>0</v>
      </c>
      <c r="AX29" s="32">
        <f t="shared" si="13"/>
        <v>0</v>
      </c>
      <c r="AY29" s="32">
        <f t="shared" si="13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12</v>
      </c>
      <c r="K30" s="237"/>
      <c r="L30" s="244"/>
      <c r="M30" s="228"/>
      <c r="N30" s="229"/>
      <c r="O30" s="230"/>
      <c r="P30" s="231">
        <f t="shared" si="5"/>
        <v>0</v>
      </c>
      <c r="Q30" s="90">
        <f t="shared" si="6"/>
        <v>0</v>
      </c>
      <c r="R30" s="91">
        <f t="shared" si="7"/>
        <v>0</v>
      </c>
      <c r="S30" s="87">
        <f t="shared" si="3"/>
        <v>0</v>
      </c>
      <c r="T30" s="92">
        <f t="shared" si="8"/>
        <v>0</v>
      </c>
      <c r="U30" s="93">
        <f t="shared" si="9"/>
        <v>0</v>
      </c>
      <c r="V30" s="57"/>
      <c r="X30" s="94">
        <f t="shared" si="10"/>
        <v>0</v>
      </c>
      <c r="Y30" s="94">
        <f t="shared" si="11"/>
        <v>0</v>
      </c>
      <c r="Z30" s="94">
        <f t="shared" si="12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4">IF(AND(In=10,cpd_type="B"),AR7,IF(AND(In=10,cpd_type="C"),AR8,IF(AND(In=10,cpd_type="D"),AR9,0)))</f>
        <v>2.2000000000000002</v>
      </c>
      <c r="AS30" s="111">
        <f t="shared" si="14"/>
        <v>0</v>
      </c>
      <c r="AT30" s="111">
        <f t="shared" si="14"/>
        <v>0</v>
      </c>
      <c r="AU30" s="111">
        <f t="shared" si="14"/>
        <v>5.33</v>
      </c>
      <c r="AV30" s="111">
        <f t="shared" si="14"/>
        <v>0</v>
      </c>
      <c r="AW30" s="111">
        <f t="shared" si="14"/>
        <v>2.95</v>
      </c>
      <c r="AX30" s="111">
        <f t="shared" si="14"/>
        <v>0</v>
      </c>
      <c r="AY30" s="111">
        <f t="shared" si="14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5">IF(AND(In=10,cpd_type="B"),BG7,IF(AND(In=10,cpd_type="C"),BG8,IF(AND(In=10,cpd_type="D"),BG9,0)))</f>
        <v>2.2000000000000002</v>
      </c>
      <c r="BH30" s="111">
        <f t="shared" si="15"/>
        <v>0</v>
      </c>
      <c r="BI30" s="111">
        <f t="shared" si="15"/>
        <v>0</v>
      </c>
      <c r="BJ30" s="111">
        <f t="shared" si="15"/>
        <v>2.4</v>
      </c>
      <c r="BK30" s="111">
        <f t="shared" si="15"/>
        <v>0</v>
      </c>
      <c r="BL30" s="111">
        <f t="shared" si="15"/>
        <v>2.2999999999999998</v>
      </c>
      <c r="BM30" s="111">
        <f t="shared" si="15"/>
        <v>0</v>
      </c>
      <c r="BN30" s="111">
        <f t="shared" si="15"/>
        <v>0</v>
      </c>
    </row>
    <row r="31" spans="1:67" ht="13.15" customHeight="1">
      <c r="A31" s="55" t="s">
        <v>88</v>
      </c>
      <c r="B31" s="55"/>
      <c r="D31" s="158" t="s">
        <v>253</v>
      </c>
      <c r="E31" s="56"/>
      <c r="G31" s="55" t="s">
        <v>96</v>
      </c>
      <c r="I31" s="57"/>
      <c r="J31" s="154">
        <v>1.5</v>
      </c>
      <c r="K31" s="241" t="s">
        <v>97</v>
      </c>
      <c r="L31" s="244"/>
      <c r="M31" s="228"/>
      <c r="N31" s="229"/>
      <c r="O31" s="230"/>
      <c r="P31" s="231">
        <f t="shared" si="5"/>
        <v>0</v>
      </c>
      <c r="Q31" s="90">
        <f t="shared" si="6"/>
        <v>0</v>
      </c>
      <c r="R31" s="91">
        <f t="shared" si="7"/>
        <v>0</v>
      </c>
      <c r="S31" s="87">
        <f t="shared" si="3"/>
        <v>0</v>
      </c>
      <c r="T31" s="92">
        <f t="shared" si="8"/>
        <v>0</v>
      </c>
      <c r="U31" s="93">
        <f t="shared" si="9"/>
        <v>0</v>
      </c>
      <c r="V31" s="57"/>
      <c r="X31" s="94">
        <f t="shared" si="10"/>
        <v>0</v>
      </c>
      <c r="Y31" s="94">
        <f t="shared" si="11"/>
        <v>0</v>
      </c>
      <c r="Z31" s="94">
        <f t="shared" si="12"/>
        <v>0</v>
      </c>
      <c r="AH31" s="53" t="s">
        <v>112</v>
      </c>
      <c r="AI31" s="106" t="str">
        <f>CPD</f>
        <v>HAGER</v>
      </c>
      <c r="AL31" s="5"/>
      <c r="AM31" s="112"/>
      <c r="AN31" s="112"/>
      <c r="AO31" s="112"/>
      <c r="AP31" s="112"/>
      <c r="AQ31" s="111">
        <f t="shared" ref="AQ31:AY31" si="16">IF(AND(In=16,cpd_type="B"),AQ10,IF(AND(In=16,cpd_type="C"),AQ11,IF(AND(In=16,cpd_type="D"),AQ12,0)))</f>
        <v>0</v>
      </c>
      <c r="AR31" s="111">
        <f t="shared" si="16"/>
        <v>0</v>
      </c>
      <c r="AS31" s="111">
        <f t="shared" si="16"/>
        <v>0</v>
      </c>
      <c r="AT31" s="111">
        <f t="shared" si="16"/>
        <v>0</v>
      </c>
      <c r="AU31" s="111">
        <f t="shared" si="16"/>
        <v>0</v>
      </c>
      <c r="AV31" s="111">
        <f t="shared" si="16"/>
        <v>0</v>
      </c>
      <c r="AW31" s="111">
        <f t="shared" si="16"/>
        <v>0</v>
      </c>
      <c r="AX31" s="111">
        <f t="shared" si="16"/>
        <v>0</v>
      </c>
      <c r="AY31" s="111">
        <f t="shared" si="16"/>
        <v>0</v>
      </c>
      <c r="BC31" s="34"/>
      <c r="BE31" s="112"/>
      <c r="BF31" s="111">
        <f t="shared" ref="BF31:BN31" si="17">IF(AND(In=16,cpd_type="B"),BF10,IF(AND(In=16,cpd_type="C"),BF11,IF(AND(In=16,cpd_type="D"),BF12,0)))</f>
        <v>0</v>
      </c>
      <c r="BG31" s="111">
        <f t="shared" si="17"/>
        <v>0</v>
      </c>
      <c r="BH31" s="111">
        <f t="shared" si="17"/>
        <v>0</v>
      </c>
      <c r="BI31" s="111">
        <f t="shared" si="17"/>
        <v>0</v>
      </c>
      <c r="BJ31" s="111">
        <f t="shared" si="17"/>
        <v>0</v>
      </c>
      <c r="BK31" s="111">
        <f t="shared" si="17"/>
        <v>0</v>
      </c>
      <c r="BL31" s="111">
        <f t="shared" si="17"/>
        <v>0</v>
      </c>
      <c r="BM31" s="111">
        <f t="shared" si="17"/>
        <v>0</v>
      </c>
      <c r="BN31" s="111">
        <f t="shared" si="17"/>
        <v>0</v>
      </c>
    </row>
    <row r="32" spans="1:67" ht="13.15" customHeight="1">
      <c r="A32" s="55" t="s">
        <v>90</v>
      </c>
      <c r="B32" s="55"/>
      <c r="D32" s="70">
        <f>Zs</f>
        <v>2.4</v>
      </c>
      <c r="E32" s="72" t="s">
        <v>63</v>
      </c>
      <c r="G32" s="55" t="s">
        <v>99</v>
      </c>
      <c r="I32" s="57"/>
      <c r="J32" s="155" t="s">
        <v>148</v>
      </c>
      <c r="K32" s="237"/>
      <c r="L32" s="244"/>
      <c r="M32" s="228"/>
      <c r="N32" s="229"/>
      <c r="O32" s="230"/>
      <c r="P32" s="231">
        <f t="shared" si="5"/>
        <v>0</v>
      </c>
      <c r="Q32" s="90">
        <f t="shared" si="6"/>
        <v>0</v>
      </c>
      <c r="R32" s="91">
        <f t="shared" si="7"/>
        <v>0</v>
      </c>
      <c r="S32" s="87">
        <f t="shared" si="3"/>
        <v>0</v>
      </c>
      <c r="T32" s="92">
        <f t="shared" si="8"/>
        <v>0</v>
      </c>
      <c r="U32" s="93">
        <f t="shared" si="9"/>
        <v>0</v>
      </c>
      <c r="V32" s="57"/>
      <c r="X32" s="94">
        <f t="shared" si="10"/>
        <v>0</v>
      </c>
      <c r="Y32" s="94">
        <f t="shared" si="11"/>
        <v>0</v>
      </c>
      <c r="Z32" s="94">
        <f t="shared" si="12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5.33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8">IF(AND(In=20,cpd_type="B"),AR13,IF(AND(In=20,cpd_type="C"),AR14,IF(AND(In=20,cpd_type="D"),AR15,IF(AND(In=25,cpd_type="D"),AR18,IF(AND(In=25,cpd_type="D"),AR21,0)))))</f>
        <v>0</v>
      </c>
      <c r="AS32" s="111">
        <f t="shared" si="18"/>
        <v>0</v>
      </c>
      <c r="AT32" s="111">
        <f t="shared" si="18"/>
        <v>0</v>
      </c>
      <c r="AU32" s="111">
        <f t="shared" si="18"/>
        <v>0</v>
      </c>
      <c r="AV32" s="111">
        <f t="shared" si="18"/>
        <v>0</v>
      </c>
      <c r="AW32" s="111">
        <f t="shared" si="18"/>
        <v>0</v>
      </c>
      <c r="AX32" s="111">
        <f t="shared" si="18"/>
        <v>0</v>
      </c>
      <c r="AY32" s="111">
        <f t="shared" si="18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9">IF(AND(In=20,cpd_type="B"),BG13,IF(AND(In=20,cpd_type="C"),BG14,IF(AND(In=20,cpd_type="D"),BG15,IF(AND(In=25,cpd_type="D"),BG18,IF(AND(In=25,cpd_type="D"),BG21,0)))))</f>
        <v>0</v>
      </c>
      <c r="BH32" s="111">
        <f t="shared" si="19"/>
        <v>0</v>
      </c>
      <c r="BI32" s="111">
        <f t="shared" si="19"/>
        <v>0</v>
      </c>
      <c r="BJ32" s="111">
        <f t="shared" si="19"/>
        <v>0</v>
      </c>
      <c r="BK32" s="111">
        <f t="shared" si="19"/>
        <v>0</v>
      </c>
      <c r="BL32" s="111">
        <f t="shared" si="19"/>
        <v>0</v>
      </c>
      <c r="BM32" s="111">
        <f t="shared" si="19"/>
        <v>0</v>
      </c>
      <c r="BN32" s="111">
        <f t="shared" si="19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207</v>
      </c>
      <c r="L33" s="244"/>
      <c r="M33" s="228"/>
      <c r="N33" s="229"/>
      <c r="O33" s="230"/>
      <c r="P33" s="231">
        <f t="shared" si="5"/>
        <v>0</v>
      </c>
      <c r="Q33" s="90">
        <f t="shared" si="6"/>
        <v>0</v>
      </c>
      <c r="R33" s="91">
        <f t="shared" si="7"/>
        <v>0</v>
      </c>
      <c r="S33" s="87">
        <f t="shared" si="3"/>
        <v>0</v>
      </c>
      <c r="T33" s="92">
        <f t="shared" si="8"/>
        <v>0</v>
      </c>
      <c r="U33" s="93">
        <f t="shared" si="9"/>
        <v>0</v>
      </c>
      <c r="V33" s="57"/>
      <c r="X33" s="94">
        <f t="shared" si="10"/>
        <v>0</v>
      </c>
      <c r="Y33" s="94">
        <f t="shared" si="11"/>
        <v>0</v>
      </c>
      <c r="Z33" s="94">
        <f t="shared" si="12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2.4</v>
      </c>
      <c r="AQ33" s="111">
        <f t="shared" ref="AQ33:AY33" si="20">IF(AND(In=25,cpd_type="B"),AQ16,IF(AND(In=25,cpd_type="C"),AQ17,IF(AND(In=25,cpd_type="D"),AQ18,0)))</f>
        <v>0</v>
      </c>
      <c r="AR33" s="111">
        <f t="shared" si="20"/>
        <v>0</v>
      </c>
      <c r="AS33" s="111">
        <f t="shared" si="20"/>
        <v>0</v>
      </c>
      <c r="AT33" s="111">
        <f t="shared" si="20"/>
        <v>0</v>
      </c>
      <c r="AU33" s="111">
        <f t="shared" si="20"/>
        <v>0</v>
      </c>
      <c r="AV33" s="111">
        <f t="shared" si="20"/>
        <v>0</v>
      </c>
      <c r="AW33" s="111">
        <f t="shared" si="20"/>
        <v>0</v>
      </c>
      <c r="AX33" s="111">
        <f t="shared" si="20"/>
        <v>0</v>
      </c>
      <c r="AY33" s="111">
        <f t="shared" si="20"/>
        <v>0</v>
      </c>
      <c r="BC33" s="34"/>
      <c r="BE33" s="102"/>
      <c r="BF33" s="111">
        <f t="shared" ref="BF33:BN33" si="21">IF(AND(In=25,cpd_type="B"),BF16,IF(AND(In=25,cpd_type="C"),BF17,IF(AND(In=25,cpd_type="D"),BF18,0)))</f>
        <v>0</v>
      </c>
      <c r="BG33" s="111">
        <f t="shared" si="21"/>
        <v>0</v>
      </c>
      <c r="BH33" s="111">
        <f t="shared" si="21"/>
        <v>0</v>
      </c>
      <c r="BI33" s="111">
        <f t="shared" si="21"/>
        <v>0</v>
      </c>
      <c r="BJ33" s="111">
        <f t="shared" si="21"/>
        <v>0</v>
      </c>
      <c r="BK33" s="111">
        <f t="shared" si="21"/>
        <v>0</v>
      </c>
      <c r="BL33" s="111">
        <f t="shared" si="21"/>
        <v>0</v>
      </c>
      <c r="BM33" s="111">
        <f t="shared" si="21"/>
        <v>0</v>
      </c>
      <c r="BN33" s="111">
        <f t="shared" si="21"/>
        <v>0</v>
      </c>
    </row>
    <row r="34" spans="2:66" ht="13.15" customHeight="1">
      <c r="G34" s="55" t="s">
        <v>101</v>
      </c>
      <c r="I34" s="57"/>
      <c r="J34" s="55">
        <f>extender_It1</f>
        <v>16</v>
      </c>
      <c r="K34" s="237" t="s">
        <v>56</v>
      </c>
      <c r="L34" s="244"/>
      <c r="M34" s="228"/>
      <c r="N34" s="229"/>
      <c r="O34" s="230"/>
      <c r="P34" s="231">
        <f t="shared" si="5"/>
        <v>0</v>
      </c>
      <c r="Q34" s="90">
        <f t="shared" si="6"/>
        <v>0</v>
      </c>
      <c r="R34" s="91">
        <f t="shared" si="7"/>
        <v>0</v>
      </c>
      <c r="S34" s="87">
        <f t="shared" si="3"/>
        <v>0</v>
      </c>
      <c r="T34" s="92">
        <f t="shared" si="8"/>
        <v>0</v>
      </c>
      <c r="U34" s="93">
        <f t="shared" si="9"/>
        <v>0</v>
      </c>
      <c r="V34" s="57"/>
      <c r="X34" s="94">
        <f t="shared" si="10"/>
        <v>0</v>
      </c>
      <c r="Y34" s="94">
        <f t="shared" si="11"/>
        <v>0</v>
      </c>
      <c r="Z34" s="94">
        <f t="shared" si="12"/>
        <v>0</v>
      </c>
      <c r="AH34" s="118" t="s">
        <v>57</v>
      </c>
      <c r="AI34" s="119">
        <f>IF(Disconnection_Time=5,AI32,IF(Disconnection_Time=0.4,AI33,"Error"))</f>
        <v>2.4</v>
      </c>
      <c r="AQ34" s="111">
        <f t="shared" ref="AQ34:AY34" si="22">IF(AND(In=32,cpd_type="B"),AQ19,IF(AND(In=32,cpd_type="C"),AQ20,IF(AND(In=32,cpd_type="D"),AQ21,0)))</f>
        <v>0</v>
      </c>
      <c r="AR34" s="111">
        <f t="shared" si="22"/>
        <v>0</v>
      </c>
      <c r="AS34" s="111">
        <f t="shared" si="22"/>
        <v>0</v>
      </c>
      <c r="AT34" s="111">
        <f t="shared" si="22"/>
        <v>0</v>
      </c>
      <c r="AU34" s="111">
        <f t="shared" si="22"/>
        <v>0</v>
      </c>
      <c r="AV34" s="111">
        <f t="shared" si="22"/>
        <v>0</v>
      </c>
      <c r="AW34" s="111">
        <f t="shared" si="22"/>
        <v>0</v>
      </c>
      <c r="AX34" s="111">
        <f t="shared" si="22"/>
        <v>0</v>
      </c>
      <c r="AY34" s="111">
        <f t="shared" si="22"/>
        <v>0</v>
      </c>
      <c r="BC34" s="34"/>
      <c r="BE34" s="102"/>
      <c r="BF34" s="111">
        <f t="shared" ref="BF34:BN34" si="23">IF(AND(In=32,cpd_type="B"),BF19,IF(AND(In=32,cpd_type="C"),BF20,IF(AND(In=32,cpd_type="D"),BF21,0)))</f>
        <v>0</v>
      </c>
      <c r="BG34" s="111">
        <f t="shared" si="23"/>
        <v>0</v>
      </c>
      <c r="BH34" s="111">
        <f t="shared" si="23"/>
        <v>0</v>
      </c>
      <c r="BI34" s="111">
        <f t="shared" si="23"/>
        <v>0</v>
      </c>
      <c r="BJ34" s="111">
        <f t="shared" si="23"/>
        <v>0</v>
      </c>
      <c r="BK34" s="111">
        <f t="shared" si="23"/>
        <v>0</v>
      </c>
      <c r="BL34" s="111">
        <f t="shared" si="23"/>
        <v>0</v>
      </c>
      <c r="BM34" s="111">
        <f t="shared" si="23"/>
        <v>0</v>
      </c>
      <c r="BN34" s="111">
        <f t="shared" si="23"/>
        <v>0</v>
      </c>
    </row>
    <row r="35" spans="2:66" ht="13.15" customHeight="1">
      <c r="G35" s="55" t="s">
        <v>103</v>
      </c>
      <c r="I35" s="57"/>
      <c r="J35" s="55">
        <f>extender_Vd1</f>
        <v>32</v>
      </c>
      <c r="K35" s="237" t="s">
        <v>104</v>
      </c>
      <c r="L35" s="244"/>
      <c r="M35" s="228"/>
      <c r="N35" s="229"/>
      <c r="O35" s="230"/>
      <c r="P35" s="231">
        <f t="shared" si="5"/>
        <v>0</v>
      </c>
      <c r="Q35" s="90">
        <f t="shared" si="6"/>
        <v>0</v>
      </c>
      <c r="R35" s="91">
        <f t="shared" si="7"/>
        <v>0</v>
      </c>
      <c r="S35" s="87">
        <f t="shared" si="3"/>
        <v>0</v>
      </c>
      <c r="T35" s="92">
        <f t="shared" si="8"/>
        <v>0</v>
      </c>
      <c r="U35" s="93">
        <f t="shared" si="9"/>
        <v>0</v>
      </c>
      <c r="V35" s="57"/>
      <c r="X35" s="94">
        <f t="shared" si="10"/>
        <v>0</v>
      </c>
      <c r="Y35" s="94">
        <f t="shared" si="11"/>
        <v>0</v>
      </c>
      <c r="Z35" s="94">
        <f t="shared" si="12"/>
        <v>0</v>
      </c>
      <c r="AD35" s="55"/>
      <c r="AE35" s="55"/>
      <c r="AP35" s="18" t="s">
        <v>121</v>
      </c>
      <c r="AQ35" s="111">
        <f t="shared" ref="AQ35:AY35" si="24">SUM(AQ29:AQ34)</f>
        <v>2.4</v>
      </c>
      <c r="AR35" s="111">
        <f t="shared" si="24"/>
        <v>2.2000000000000002</v>
      </c>
      <c r="AS35" s="111">
        <f t="shared" si="24"/>
        <v>0</v>
      </c>
      <c r="AT35" s="111">
        <f t="shared" si="24"/>
        <v>0</v>
      </c>
      <c r="AU35" s="111">
        <f t="shared" si="24"/>
        <v>5.33</v>
      </c>
      <c r="AV35" s="111">
        <f t="shared" si="24"/>
        <v>0</v>
      </c>
      <c r="AW35" s="111">
        <f t="shared" si="24"/>
        <v>2.95</v>
      </c>
      <c r="AX35" s="111">
        <f t="shared" si="24"/>
        <v>0</v>
      </c>
      <c r="AY35" s="111">
        <f t="shared" si="24"/>
        <v>0</v>
      </c>
      <c r="BC35" s="34"/>
      <c r="BE35" s="18" t="s">
        <v>121</v>
      </c>
      <c r="BF35" s="111">
        <f t="shared" ref="BF35:BN35" si="25">SUM(BF29:BF34)</f>
        <v>2.4</v>
      </c>
      <c r="BG35" s="111">
        <f t="shared" si="25"/>
        <v>2.2000000000000002</v>
      </c>
      <c r="BH35" s="111">
        <f t="shared" si="25"/>
        <v>0</v>
      </c>
      <c r="BI35" s="111">
        <f t="shared" si="25"/>
        <v>0</v>
      </c>
      <c r="BJ35" s="111">
        <f t="shared" si="25"/>
        <v>2.4</v>
      </c>
      <c r="BK35" s="111">
        <f t="shared" si="25"/>
        <v>0</v>
      </c>
      <c r="BL35" s="111">
        <f t="shared" si="25"/>
        <v>2.2999999999999998</v>
      </c>
      <c r="BM35" s="111">
        <f t="shared" si="25"/>
        <v>0</v>
      </c>
      <c r="BN35" s="111">
        <f t="shared" si="25"/>
        <v>0</v>
      </c>
    </row>
    <row r="36" spans="2:66" ht="13.15" customHeight="1">
      <c r="G36" s="55" t="s">
        <v>105</v>
      </c>
      <c r="J36" s="55">
        <f>extender_Z1</f>
        <v>13.3</v>
      </c>
      <c r="K36" s="238" t="s">
        <v>106</v>
      </c>
      <c r="L36" s="244"/>
      <c r="M36" s="228"/>
      <c r="N36" s="229"/>
      <c r="O36" s="230"/>
      <c r="P36" s="231">
        <f t="shared" si="5"/>
        <v>0</v>
      </c>
      <c r="Q36" s="90">
        <f t="shared" si="6"/>
        <v>0</v>
      </c>
      <c r="R36" s="91">
        <f t="shared" si="7"/>
        <v>0</v>
      </c>
      <c r="S36" s="87">
        <f t="shared" si="3"/>
        <v>0</v>
      </c>
      <c r="T36" s="92">
        <f t="shared" si="8"/>
        <v>0</v>
      </c>
      <c r="U36" s="93">
        <f t="shared" si="9"/>
        <v>0</v>
      </c>
      <c r="V36" s="57"/>
      <c r="X36" s="94">
        <f t="shared" si="10"/>
        <v>0</v>
      </c>
      <c r="Y36" s="94">
        <f t="shared" si="11"/>
        <v>0</v>
      </c>
      <c r="Z36" s="94">
        <f t="shared" si="12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33.199999999999996</v>
      </c>
      <c r="K37" s="238" t="s">
        <v>106</v>
      </c>
      <c r="L37" s="244"/>
      <c r="M37" s="228"/>
      <c r="N37" s="229"/>
      <c r="O37" s="230"/>
      <c r="P37" s="231">
        <f t="shared" si="5"/>
        <v>0</v>
      </c>
      <c r="Q37" s="90">
        <f t="shared" si="6"/>
        <v>0</v>
      </c>
      <c r="R37" s="91">
        <f t="shared" si="7"/>
        <v>0</v>
      </c>
      <c r="S37" s="87">
        <f t="shared" si="3"/>
        <v>0</v>
      </c>
      <c r="T37" s="92">
        <f t="shared" si="8"/>
        <v>0</v>
      </c>
      <c r="U37" s="93">
        <f t="shared" si="9"/>
        <v>0</v>
      </c>
      <c r="V37" s="57"/>
      <c r="X37" s="94">
        <f t="shared" si="10"/>
        <v>0</v>
      </c>
      <c r="Y37" s="94">
        <f t="shared" si="11"/>
        <v>0</v>
      </c>
      <c r="Z37" s="94">
        <f t="shared" si="12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HAGER</v>
      </c>
      <c r="AQ37" s="32"/>
      <c r="BE37" s="18" t="str">
        <f>D31</f>
        <v>HAGER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385.65700863344716</v>
      </c>
      <c r="K38" s="237" t="s">
        <v>56</v>
      </c>
      <c r="L38" s="244"/>
      <c r="M38" s="228"/>
      <c r="N38" s="229"/>
      <c r="O38" s="230"/>
      <c r="P38" s="231">
        <f t="shared" si="5"/>
        <v>0</v>
      </c>
      <c r="Q38" s="90">
        <f t="shared" si="6"/>
        <v>0</v>
      </c>
      <c r="R38" s="91">
        <f t="shared" si="7"/>
        <v>0</v>
      </c>
      <c r="S38" s="87">
        <f t="shared" si="3"/>
        <v>0</v>
      </c>
      <c r="T38" s="92">
        <f t="shared" si="8"/>
        <v>0</v>
      </c>
      <c r="U38" s="93">
        <f t="shared" si="9"/>
        <v>0</v>
      </c>
      <c r="V38" s="57"/>
      <c r="W38" s="55"/>
      <c r="X38" s="94">
        <f t="shared" si="10"/>
        <v>0</v>
      </c>
      <c r="Y38" s="94">
        <f t="shared" si="11"/>
        <v>0</v>
      </c>
      <c r="Z38" s="94">
        <f t="shared" si="12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05" t="str">
        <f>IF(J7=0,"This calculation is un-checked",0)</f>
        <v>This calculation is un-checked</v>
      </c>
      <c r="C39" s="306"/>
      <c r="D39" s="306"/>
      <c r="G39" s="55" t="s">
        <v>140</v>
      </c>
      <c r="I39" s="57"/>
      <c r="J39" s="110">
        <f>AQ60</f>
        <v>149.75378877271623</v>
      </c>
      <c r="K39" s="237" t="s">
        <v>56</v>
      </c>
      <c r="L39" s="244"/>
      <c r="M39" s="228"/>
      <c r="N39" s="229"/>
      <c r="O39" s="230"/>
      <c r="P39" s="231">
        <f t="shared" si="5"/>
        <v>0</v>
      </c>
      <c r="Q39" s="90">
        <f t="shared" si="6"/>
        <v>0</v>
      </c>
      <c r="R39" s="91">
        <f t="shared" si="7"/>
        <v>0</v>
      </c>
      <c r="S39" s="87">
        <f t="shared" si="3"/>
        <v>0</v>
      </c>
      <c r="T39" s="92">
        <f t="shared" si="8"/>
        <v>0</v>
      </c>
      <c r="U39" s="93">
        <f t="shared" si="9"/>
        <v>0</v>
      </c>
      <c r="V39" s="57"/>
      <c r="X39" s="94">
        <f t="shared" si="10"/>
        <v>0</v>
      </c>
      <c r="Y39" s="94">
        <f t="shared" si="11"/>
        <v>0</v>
      </c>
      <c r="Z39" s="94">
        <f t="shared" si="12"/>
        <v>0</v>
      </c>
      <c r="AH39" s="53" t="s">
        <v>128</v>
      </c>
      <c r="AI39" s="120" t="str">
        <f ca="1">IF((ROUNDUP((100/nominal_V*D60),2))&lt;=Max_VD,AJ39,AJ40)</f>
        <v>ü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06"/>
      <c r="C40" s="306"/>
      <c r="D40" s="306"/>
      <c r="G40" s="55" t="s">
        <v>143</v>
      </c>
      <c r="I40" s="57"/>
      <c r="J40" s="110">
        <f>AS76</f>
        <v>500</v>
      </c>
      <c r="K40" s="237"/>
      <c r="L40" s="244"/>
      <c r="M40" s="228"/>
      <c r="N40" s="229"/>
      <c r="O40" s="230"/>
      <c r="P40" s="231">
        <f t="shared" si="5"/>
        <v>0</v>
      </c>
      <c r="Q40" s="90">
        <f t="shared" si="6"/>
        <v>0</v>
      </c>
      <c r="R40" s="91">
        <f t="shared" si="7"/>
        <v>0</v>
      </c>
      <c r="S40" s="87">
        <f t="shared" si="3"/>
        <v>0</v>
      </c>
      <c r="T40" s="92">
        <f t="shared" si="8"/>
        <v>0</v>
      </c>
      <c r="U40" s="93">
        <f t="shared" si="9"/>
        <v>0</v>
      </c>
      <c r="V40" s="57"/>
      <c r="X40" s="94">
        <f t="shared" si="10"/>
        <v>0</v>
      </c>
      <c r="Y40" s="94">
        <f t="shared" si="11"/>
        <v>0</v>
      </c>
      <c r="Z40" s="94">
        <f t="shared" si="12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06"/>
      <c r="C41" s="306"/>
      <c r="D41" s="306"/>
      <c r="G41" s="55" t="s">
        <v>145</v>
      </c>
      <c r="H41" s="7"/>
      <c r="I41" s="57"/>
      <c r="J41" s="110">
        <f>AU76</f>
        <v>70</v>
      </c>
      <c r="K41" s="237"/>
      <c r="L41" s="244"/>
      <c r="M41" s="228"/>
      <c r="N41" s="229"/>
      <c r="O41" s="230"/>
      <c r="P41" s="231">
        <f t="shared" si="5"/>
        <v>0</v>
      </c>
      <c r="Q41" s="90">
        <f t="shared" si="6"/>
        <v>0</v>
      </c>
      <c r="R41" s="91">
        <f t="shared" si="7"/>
        <v>0</v>
      </c>
      <c r="S41" s="87">
        <f t="shared" si="3"/>
        <v>0</v>
      </c>
      <c r="T41" s="92">
        <f t="shared" si="8"/>
        <v>0</v>
      </c>
      <c r="U41" s="93">
        <f t="shared" si="9"/>
        <v>0</v>
      </c>
      <c r="V41" s="57"/>
      <c r="X41" s="94">
        <f t="shared" si="10"/>
        <v>0</v>
      </c>
      <c r="Y41" s="94">
        <f t="shared" si="11"/>
        <v>0</v>
      </c>
      <c r="Z41" s="94">
        <f t="shared" si="12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06"/>
      <c r="C42" s="306"/>
      <c r="D42" s="306"/>
      <c r="G42" s="55" t="s">
        <v>111</v>
      </c>
      <c r="I42" s="57"/>
      <c r="J42" s="110">
        <f>143^2*extender_csa^2</f>
        <v>46010.25</v>
      </c>
      <c r="K42" s="237"/>
      <c r="L42" s="244"/>
      <c r="M42" s="228"/>
      <c r="N42" s="229"/>
      <c r="O42" s="230"/>
      <c r="P42" s="231">
        <f t="shared" si="5"/>
        <v>0</v>
      </c>
      <c r="Q42" s="90">
        <f t="shared" si="6"/>
        <v>0</v>
      </c>
      <c r="R42" s="91">
        <f t="shared" si="7"/>
        <v>0</v>
      </c>
      <c r="S42" s="87">
        <f t="shared" si="3"/>
        <v>0</v>
      </c>
      <c r="T42" s="92">
        <f t="shared" si="8"/>
        <v>0</v>
      </c>
      <c r="U42" s="93">
        <f t="shared" si="9"/>
        <v>0</v>
      </c>
      <c r="V42" s="57"/>
      <c r="X42" s="94">
        <f t="shared" si="10"/>
        <v>0</v>
      </c>
      <c r="Y42" s="94">
        <f t="shared" si="11"/>
        <v>0</v>
      </c>
      <c r="Z42" s="94">
        <f t="shared" si="12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06"/>
      <c r="C43" s="306"/>
      <c r="D43" s="306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5"/>
        <v>0</v>
      </c>
      <c r="Q43" s="90">
        <f t="shared" si="6"/>
        <v>0</v>
      </c>
      <c r="R43" s="91">
        <f t="shared" si="7"/>
        <v>0</v>
      </c>
      <c r="S43" s="87">
        <f t="shared" si="3"/>
        <v>0</v>
      </c>
      <c r="T43" s="92">
        <f t="shared" si="8"/>
        <v>0</v>
      </c>
      <c r="U43" s="93">
        <f t="shared" si="9"/>
        <v>0</v>
      </c>
      <c r="V43" s="57"/>
      <c r="X43" s="94">
        <f t="shared" si="10"/>
        <v>0</v>
      </c>
      <c r="Y43" s="94">
        <f t="shared" si="11"/>
        <v>0</v>
      </c>
      <c r="Z43" s="94">
        <f t="shared" si="12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06"/>
      <c r="C44" s="306"/>
      <c r="D44" s="306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5"/>
        <v>0</v>
      </c>
      <c r="Q44" s="90">
        <f t="shared" si="6"/>
        <v>0</v>
      </c>
      <c r="R44" s="91">
        <f t="shared" si="7"/>
        <v>0</v>
      </c>
      <c r="S44" s="87">
        <f t="shared" si="3"/>
        <v>0</v>
      </c>
      <c r="T44" s="92">
        <f t="shared" si="8"/>
        <v>0</v>
      </c>
      <c r="U44" s="93">
        <f t="shared" si="9"/>
        <v>0</v>
      </c>
      <c r="V44" s="57"/>
      <c r="X44" s="94">
        <f t="shared" si="10"/>
        <v>0</v>
      </c>
      <c r="Y44" s="94">
        <f t="shared" si="11"/>
        <v>0</v>
      </c>
      <c r="Z44" s="94">
        <f t="shared" si="12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5"/>
        <v>0</v>
      </c>
      <c r="Q45" s="78">
        <f t="shared" si="6"/>
        <v>0</v>
      </c>
      <c r="R45" s="114">
        <f t="shared" si="7"/>
        <v>0</v>
      </c>
      <c r="S45" s="77">
        <f t="shared" si="3"/>
        <v>0</v>
      </c>
      <c r="T45" s="82">
        <f t="shared" si="8"/>
        <v>0</v>
      </c>
      <c r="U45" s="115">
        <f t="shared" si="9"/>
        <v>0</v>
      </c>
      <c r="V45" s="57"/>
      <c r="X45" s="116">
        <f t="shared" si="10"/>
        <v>0</v>
      </c>
      <c r="Y45" s="116">
        <f t="shared" si="11"/>
        <v>0</v>
      </c>
      <c r="Z45" s="116">
        <f t="shared" si="12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1.65</v>
      </c>
      <c r="Y46" s="106">
        <f>SUM(Y18:Y45)</f>
        <v>149.75378877271623</v>
      </c>
      <c r="Z46" s="106">
        <f>SUM(Z18:Z45)</f>
        <v>2.84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1.0800000000000001E-2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SWITCH DROP/UN-ARMOURED CABLE: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2.484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4" t="s">
        <v>195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229.7516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184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 t="s">
        <v>197</v>
      </c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207</v>
      </c>
      <c r="L51" s="134" t="s">
        <v>198</v>
      </c>
      <c r="M51" s="57"/>
      <c r="P51" s="57"/>
      <c r="Q51" s="56"/>
      <c r="R51" s="55" t="str">
        <f ca="1">"Voltage Drop less than "&amp;Max_VD&amp;"%:"</f>
        <v>Voltage Drop less than 2.92%: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 t="s">
        <v>196</v>
      </c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1">
        <f>P18</f>
        <v>6.13</v>
      </c>
      <c r="E56" s="284"/>
      <c r="G56" s="55" t="s">
        <v>64</v>
      </c>
      <c r="I56" s="57"/>
      <c r="J56" s="110">
        <f>AQ61</f>
        <v>149.75378877271623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309">
        <f>SUM(N18:N37)</f>
        <v>55.800000000000011</v>
      </c>
      <c r="E57" s="284"/>
      <c r="F57" s="57"/>
      <c r="G57" s="55" t="s">
        <v>110</v>
      </c>
      <c r="I57" s="57"/>
      <c r="J57" s="110">
        <f>AU76</f>
        <v>70</v>
      </c>
      <c r="K57" s="56"/>
      <c r="L57" s="307" t="s">
        <v>135</v>
      </c>
      <c r="M57" s="310"/>
      <c r="N57" s="310"/>
      <c r="O57" s="310"/>
      <c r="P57" s="310"/>
      <c r="Q57" s="310"/>
      <c r="R57" s="310"/>
      <c r="S57" s="310"/>
      <c r="T57" s="310"/>
      <c r="U57" s="310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311">
        <f>X46</f>
        <v>1.65</v>
      </c>
      <c r="E58" s="312"/>
      <c r="G58" s="55" t="s">
        <v>111</v>
      </c>
      <c r="I58" s="57"/>
      <c r="J58" s="110">
        <f>143^2*SD_csa^2</f>
        <v>46010.25</v>
      </c>
      <c r="K58" s="56"/>
      <c r="L58" s="307" t="s">
        <v>182</v>
      </c>
      <c r="M58" s="308"/>
      <c r="N58" s="308"/>
      <c r="O58" s="308"/>
      <c r="P58" s="308"/>
      <c r="Q58" s="308"/>
      <c r="R58" s="308"/>
      <c r="S58" s="308"/>
      <c r="T58" s="308"/>
      <c r="U58" s="308"/>
      <c r="V58" s="57"/>
      <c r="AE58" s="55"/>
      <c r="AM58" s="135"/>
      <c r="AN58" s="136"/>
      <c r="AO58" s="136"/>
      <c r="AP58" s="137" t="s">
        <v>149</v>
      </c>
      <c r="AQ58" s="138">
        <f>U18</f>
        <v>448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313">
        <f>Y46</f>
        <v>149.75378877271623</v>
      </c>
      <c r="E59" s="284"/>
      <c r="G59" s="54" t="s">
        <v>113</v>
      </c>
      <c r="I59" s="57"/>
      <c r="J59" s="113" t="str">
        <f>Max_CPD2</f>
        <v>ü</v>
      </c>
      <c r="K59" s="56"/>
      <c r="L59" s="307" t="s">
        <v>141</v>
      </c>
      <c r="M59" s="308"/>
      <c r="N59" s="308"/>
      <c r="O59" s="308"/>
      <c r="P59" s="308"/>
      <c r="Q59" s="308"/>
      <c r="R59" s="308"/>
      <c r="S59" s="308"/>
      <c r="T59" s="308"/>
      <c r="U59" s="308"/>
      <c r="V59" s="57"/>
      <c r="AE59" s="55"/>
      <c r="AM59" s="141"/>
      <c r="AN59" s="142"/>
      <c r="AO59" s="142"/>
      <c r="AP59" s="143" t="s">
        <v>150</v>
      </c>
      <c r="AQ59" s="144">
        <f>U19</f>
        <v>385.65700863344716</v>
      </c>
      <c r="AR59" s="145"/>
      <c r="AS59" s="314" t="s">
        <v>159</v>
      </c>
      <c r="AT59" s="314"/>
      <c r="AU59" s="314"/>
      <c r="AV59" s="146"/>
      <c r="AW59" s="122"/>
    </row>
    <row r="60" spans="1:49" ht="13.15" customHeight="1">
      <c r="B60" s="129" t="s">
        <v>45</v>
      </c>
      <c r="C60" s="57"/>
      <c r="D60" s="315">
        <f>SUM(Q18:Q37)</f>
        <v>6.5112000000000005</v>
      </c>
      <c r="E60" s="284"/>
      <c r="L60" s="307" t="s">
        <v>183</v>
      </c>
      <c r="M60" s="308"/>
      <c r="N60" s="308"/>
      <c r="O60" s="308"/>
      <c r="P60" s="308"/>
      <c r="Q60" s="308"/>
      <c r="R60" s="308"/>
      <c r="S60" s="308"/>
      <c r="T60" s="308"/>
      <c r="U60" s="308"/>
      <c r="V60" s="57"/>
      <c r="AE60" s="55"/>
      <c r="AM60" s="141"/>
      <c r="AN60" s="142"/>
      <c r="AO60" s="142"/>
      <c r="AP60" s="143" t="s">
        <v>151</v>
      </c>
      <c r="AQ60" s="144">
        <f>Y46</f>
        <v>149.75378877271623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315">
        <f ca="1">V_Source-D60</f>
        <v>221.00479999999999</v>
      </c>
      <c r="E61" s="316"/>
      <c r="L61" s="307"/>
      <c r="M61" s="308"/>
      <c r="N61" s="308"/>
      <c r="O61" s="308"/>
      <c r="P61" s="308"/>
      <c r="Q61" s="308"/>
      <c r="R61" s="308"/>
      <c r="S61" s="308"/>
      <c r="T61" s="308"/>
      <c r="U61" s="308"/>
      <c r="V61" s="57"/>
      <c r="AE61" s="55"/>
      <c r="AM61" s="141"/>
      <c r="AN61" s="142"/>
      <c r="AO61" s="142"/>
      <c r="AP61" s="142" t="s">
        <v>152</v>
      </c>
      <c r="AQ61" s="144">
        <f>AQ60</f>
        <v>149.75378877271623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980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0</v>
      </c>
      <c r="AR73" s="142"/>
      <c r="AS73" s="143">
        <f>IF(AND($AQ$59&gt;=300,$AQ$59&lt;400),AT45,0)</f>
        <v>500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0</v>
      </c>
      <c r="AT74" s="148"/>
      <c r="AU74" s="143">
        <f>IF(AND($AQ$60&gt;=200,$AQ$60&lt;300),AT44,0)</f>
        <v>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70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980</v>
      </c>
      <c r="AR76" s="142"/>
      <c r="AS76" s="143">
        <f>SUM(AS63:AS75)</f>
        <v>500</v>
      </c>
      <c r="AT76" s="148"/>
      <c r="AU76" s="143">
        <f>SUM(AU63:AU75)</f>
        <v>70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307"/>
      <c r="B113" s="308"/>
      <c r="C113" s="308"/>
      <c r="D113" s="308"/>
      <c r="E113" s="308"/>
      <c r="F113" s="308"/>
      <c r="G113" s="308"/>
      <c r="H113" s="308"/>
      <c r="I113" s="308"/>
      <c r="J113" s="308"/>
    </row>
    <row r="114" spans="1:10" ht="12.6" customHeight="1">
      <c r="A114" s="307"/>
      <c r="B114" s="308"/>
      <c r="C114" s="308"/>
      <c r="D114" s="308"/>
      <c r="E114" s="308"/>
      <c r="F114" s="308"/>
      <c r="G114" s="308"/>
      <c r="H114" s="308"/>
      <c r="I114" s="308"/>
      <c r="J114" s="308"/>
    </row>
    <row r="115" spans="1:10" ht="12.6" customHeight="1">
      <c r="A115" s="307"/>
      <c r="B115" s="308"/>
      <c r="C115" s="308"/>
      <c r="D115" s="308"/>
      <c r="E115" s="308"/>
      <c r="F115" s="308"/>
      <c r="G115" s="308"/>
      <c r="H115" s="308"/>
      <c r="I115" s="308"/>
      <c r="J115" s="308"/>
    </row>
    <row r="116" spans="1:10" ht="12.6" customHeight="1">
      <c r="A116" s="307"/>
      <c r="B116" s="308"/>
      <c r="C116" s="308"/>
      <c r="D116" s="308"/>
      <c r="E116" s="308"/>
      <c r="F116" s="308"/>
      <c r="G116" s="308"/>
      <c r="H116" s="308"/>
      <c r="I116" s="308"/>
      <c r="J116" s="308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30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</row>
    <row r="139" spans="4:28" ht="12.6" customHeight="1">
      <c r="E139" s="7"/>
      <c r="F139" s="30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6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A114:J114"/>
    <mergeCell ref="A115:J115"/>
    <mergeCell ref="A116:J116"/>
    <mergeCell ref="F138:AB138"/>
    <mergeCell ref="F139:AB139"/>
    <mergeCell ref="AS59:AU59"/>
    <mergeCell ref="D60:E60"/>
    <mergeCell ref="L60:U60"/>
    <mergeCell ref="D61:E61"/>
    <mergeCell ref="L61:U61"/>
    <mergeCell ref="A113:J113"/>
    <mergeCell ref="D57:E57"/>
    <mergeCell ref="L57:U57"/>
    <mergeCell ref="D58:E58"/>
    <mergeCell ref="L58:U58"/>
    <mergeCell ref="D59:E59"/>
    <mergeCell ref="L59:U59"/>
    <mergeCell ref="D56:E56"/>
    <mergeCell ref="C8:G8"/>
    <mergeCell ref="J8:K8"/>
    <mergeCell ref="N8:P8"/>
    <mergeCell ref="U8:V8"/>
    <mergeCell ref="C10:E10"/>
    <mergeCell ref="N10:P10"/>
    <mergeCell ref="N11:P11"/>
    <mergeCell ref="C12:E12"/>
    <mergeCell ref="N12:P12"/>
    <mergeCell ref="O16:P16"/>
    <mergeCell ref="B39:D44"/>
    <mergeCell ref="C6:G6"/>
    <mergeCell ref="J6:K6"/>
    <mergeCell ref="N6:Q6"/>
    <mergeCell ref="U6:V6"/>
    <mergeCell ref="C7:G7"/>
    <mergeCell ref="J7:K7"/>
    <mergeCell ref="N7:Q7"/>
    <mergeCell ref="U7:V7"/>
    <mergeCell ref="C4:G4"/>
    <mergeCell ref="J4:K4"/>
    <mergeCell ref="N4:Q4"/>
    <mergeCell ref="U4:V4"/>
    <mergeCell ref="C5:G5"/>
    <mergeCell ref="J5:K5"/>
    <mergeCell ref="N5:Q5"/>
    <mergeCell ref="U5:V5"/>
  </mergeCells>
  <conditionalFormatting sqref="B39:D44">
    <cfRule type="cellIs" dxfId="1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O1171"/>
  <sheetViews>
    <sheetView showZeros="0" topLeftCell="Y1" zoomScale="95" zoomScaleNormal="95" workbookViewId="0">
      <selection activeCell="AI25" sqref="AI25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8.28515625" style="57" customWidth="1"/>
    <col min="12" max="21" width="8.7109375" style="55" customWidth="1"/>
    <col min="22" max="22" width="8.2851562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9" width="8.85546875" style="55" customWidth="1"/>
    <col min="70" max="16384" width="8.85546875" style="55"/>
  </cols>
  <sheetData>
    <row r="1" spans="1:67" s="7" customFormat="1" ht="17.45" customHeight="1" thickBot="1">
      <c r="A1" s="266" t="s">
        <v>232</v>
      </c>
      <c r="B1" s="2"/>
      <c r="C1" s="3"/>
      <c r="D1" s="4"/>
      <c r="E1" s="18"/>
      <c r="F1" s="19"/>
      <c r="I1" s="4"/>
      <c r="J1" s="4"/>
      <c r="K1" s="6" t="s">
        <v>245</v>
      </c>
      <c r="L1" s="266" t="s">
        <v>232</v>
      </c>
      <c r="M1" s="2"/>
      <c r="N1" s="3"/>
      <c r="O1" s="4"/>
      <c r="P1" s="18"/>
      <c r="Q1" s="19"/>
      <c r="T1" s="4"/>
      <c r="U1" s="4"/>
      <c r="V1" s="6" t="s">
        <v>245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287" t="str">
        <f>Project_Name</f>
        <v>Fife-JV</v>
      </c>
      <c r="D4" s="281"/>
      <c r="E4" s="281"/>
      <c r="F4" s="281"/>
      <c r="G4" s="281"/>
      <c r="I4" s="33" t="s">
        <v>14</v>
      </c>
      <c r="J4" s="288" t="str">
        <f>Prep_By</f>
        <v>N Holmes</v>
      </c>
      <c r="K4" s="289"/>
      <c r="L4" s="31" t="str">
        <f t="shared" si="0"/>
        <v>Project Name:</v>
      </c>
      <c r="N4" s="287" t="str">
        <f>Project_Name</f>
        <v>Fife-JV</v>
      </c>
      <c r="O4" s="281"/>
      <c r="P4" s="281"/>
      <c r="Q4" s="281"/>
      <c r="T4" s="33" t="str">
        <f>I4</f>
        <v>Prepared By:</v>
      </c>
      <c r="U4" s="288" t="str">
        <f>Prep_By</f>
        <v>N Holmes</v>
      </c>
      <c r="V4" s="289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287" t="str">
        <f>Project_No</f>
        <v>MW502</v>
      </c>
      <c r="D5" s="281"/>
      <c r="E5" s="281"/>
      <c r="F5" s="281"/>
      <c r="G5" s="281"/>
      <c r="I5" s="33" t="s">
        <v>18</v>
      </c>
      <c r="J5" s="290" t="str">
        <f>Date</f>
        <v>26.06.10</v>
      </c>
      <c r="K5" s="289"/>
      <c r="L5" s="31" t="str">
        <f t="shared" si="0"/>
        <v>Project Nº:</v>
      </c>
      <c r="N5" s="287" t="str">
        <f>Project_No</f>
        <v>MW502</v>
      </c>
      <c r="O5" s="281"/>
      <c r="P5" s="281"/>
      <c r="Q5" s="281"/>
      <c r="T5" s="33" t="str">
        <f>I5</f>
        <v>Date Prepared:</v>
      </c>
      <c r="U5" s="290" t="str">
        <f>Date</f>
        <v>26.06.10</v>
      </c>
      <c r="V5" s="289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287" t="str">
        <f>Area_Zone_Level</f>
        <v>Level 00 - DB Zone E1|0|BL</v>
      </c>
      <c r="D6" s="281"/>
      <c r="E6" s="281"/>
      <c r="F6" s="281"/>
      <c r="G6" s="281"/>
      <c r="I6" s="33" t="s">
        <v>24</v>
      </c>
      <c r="J6" s="288" t="s">
        <v>243</v>
      </c>
      <c r="K6" s="289"/>
      <c r="L6" s="31" t="str">
        <f t="shared" si="0"/>
        <v>Area/Zone/Level:</v>
      </c>
      <c r="N6" s="287" t="str">
        <f>Area_Zone_Level</f>
        <v>Level 00 - DB Zone E1|0|BL</v>
      </c>
      <c r="O6" s="281"/>
      <c r="P6" s="281"/>
      <c r="Q6" s="281"/>
      <c r="T6" s="33" t="str">
        <f>I6</f>
        <v>Revision:</v>
      </c>
      <c r="U6" s="288" t="str">
        <f>J6</f>
        <v>C1</v>
      </c>
      <c r="V6" s="289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40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25</v>
      </c>
      <c r="AK6" s="54">
        <f>IF(AND(SD_csa=1.5,SD_tp=70),16,IF(AND(SD_csa=2.5,SD_tp=70),25,IF(AND(SD_csa=2.5,SD_tp=90),28,IF(AND(SD_csa=4,SD_tp=70),32,IF(AND(SD_csa=4,SD_tp=90),37,"ERR")))))</f>
        <v>16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287" t="str">
        <f>Drawing_No</f>
        <v>CD-MS-02-L(62)1-XX-006</v>
      </c>
      <c r="D7" s="281"/>
      <c r="E7" s="281"/>
      <c r="F7" s="281"/>
      <c r="G7" s="281"/>
      <c r="I7" s="33" t="s">
        <v>33</v>
      </c>
      <c r="J7" s="288"/>
      <c r="K7" s="289"/>
      <c r="L7" s="31" t="str">
        <f t="shared" si="0"/>
        <v>Drawing Nº:</v>
      </c>
      <c r="N7" s="287" t="str">
        <f>Drawing_No</f>
        <v>CD-MS-02-L(62)1-XX-006</v>
      </c>
      <c r="O7" s="281"/>
      <c r="P7" s="281"/>
      <c r="Q7" s="281"/>
      <c r="T7" s="33" t="str">
        <f>I7</f>
        <v>Checked By:</v>
      </c>
      <c r="U7" s="288">
        <f>J7</f>
        <v>0</v>
      </c>
      <c r="V7" s="289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31" t="s">
        <v>17</v>
      </c>
      <c r="B8" s="7"/>
      <c r="C8" s="292" t="str">
        <f>Service</f>
        <v>Lighting</v>
      </c>
      <c r="D8" s="293"/>
      <c r="E8" s="293"/>
      <c r="F8" s="281"/>
      <c r="G8" s="281"/>
      <c r="J8" s="294" t="s">
        <v>242</v>
      </c>
      <c r="K8" s="295"/>
      <c r="L8" s="31" t="str">
        <f t="shared" si="0"/>
        <v>Service:</v>
      </c>
      <c r="M8" s="7"/>
      <c r="N8" s="292" t="str">
        <f>Service</f>
        <v>Lighting</v>
      </c>
      <c r="O8" s="293"/>
      <c r="P8" s="293"/>
      <c r="Q8" s="19"/>
      <c r="U8" s="294" t="str">
        <f>J8</f>
        <v>UCVD May 2010 V4.3</v>
      </c>
      <c r="V8" s="295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12</v>
      </c>
      <c r="AJ8" s="54">
        <f>IF(extender_csa=1.5,32,IF(extender_csa=2.5,19,IF(extender_csa=4,12,"ERR")))</f>
        <v>19</v>
      </c>
      <c r="AK8" s="54">
        <f>IF(SD_csa=1.5,32,IF(SD_csa=2.5,19,IF(SD_csa=4,12,"ERR")))</f>
        <v>32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296" t="str">
        <f>DB_Ref</f>
        <v>E5|1|AL</v>
      </c>
      <c r="D10" s="297"/>
      <c r="E10" s="284"/>
      <c r="L10" s="18" t="str">
        <f>A10</f>
        <v>DB Ref:</v>
      </c>
      <c r="M10" s="57"/>
      <c r="N10" s="298" t="str">
        <f>C10</f>
        <v>E5|1|AL</v>
      </c>
      <c r="O10" s="299"/>
      <c r="P10" s="300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7.98</v>
      </c>
      <c r="AK10" s="61">
        <f>IF(SD_csa=1.5,13.3,IF(SD_csa=2.5,7.98,IF(SD_csa=4,5.6,"ERR")))</f>
        <v>13.3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271" t="str">
        <f>DB_Ref&amp;"|"</f>
        <v>E5|1|AL|</v>
      </c>
      <c r="D11" s="272" t="s">
        <v>250</v>
      </c>
      <c r="E11" s="270"/>
      <c r="L11" s="18" t="str">
        <f>A11</f>
        <v>MDB Nº:</v>
      </c>
      <c r="M11" s="57"/>
      <c r="N11" s="298" t="str">
        <f>C11</f>
        <v>E5|1|AL|</v>
      </c>
      <c r="O11" s="299"/>
      <c r="P11" s="300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296" t="str">
        <f ca="1">C10&amp;"|"&amp;MID(CELL("filename",A1),FIND("]",CELL("filename",A1))+1,32)</f>
        <v>E5|1|AL|7L3b</v>
      </c>
      <c r="D12" s="297"/>
      <c r="E12" s="284"/>
      <c r="L12" s="18" t="str">
        <f>A12</f>
        <v>Circuit Ref:</v>
      </c>
      <c r="M12" s="57"/>
      <c r="N12" s="296" t="str">
        <f ca="1">C12</f>
        <v>E5|1|AL|7L3b</v>
      </c>
      <c r="O12" s="301"/>
      <c r="P12" s="302"/>
      <c r="Q12" s="56"/>
      <c r="R12" s="57"/>
      <c r="U12" s="57"/>
      <c r="V12" s="57"/>
      <c r="AH12" s="34" t="s">
        <v>59</v>
      </c>
      <c r="AI12" s="71">
        <f>homerun_Z1*mdb_CPD_R_Factor</f>
        <v>6.136832000000001</v>
      </c>
      <c r="AJ12" s="71">
        <f>extender_Z1*extender_CPD_R_Factor</f>
        <v>9.9590399999999999</v>
      </c>
      <c r="AK12" s="71">
        <f>SD_Z1*SD_CPD_R_Factor</f>
        <v>16.598400000000002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6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7"/>
      <c r="AE13" s="197"/>
      <c r="AF13" s="198"/>
      <c r="AG13" s="198"/>
      <c r="AH13" s="199" t="s">
        <v>65</v>
      </c>
      <c r="AI13" s="200">
        <f>Homerun_ZinstPH</f>
        <v>6.136832000000001</v>
      </c>
      <c r="AJ13" s="200">
        <f>Extender_ZinstPH</f>
        <v>9.9590399999999999</v>
      </c>
      <c r="AK13" s="200">
        <f>SD_ZinstPH</f>
        <v>16.598400000000002</v>
      </c>
      <c r="AL13" s="201"/>
      <c r="AM13" s="202"/>
      <c r="AN13" s="203" t="s">
        <v>66</v>
      </c>
      <c r="AO13" s="202"/>
      <c r="AP13" s="204" t="s">
        <v>21</v>
      </c>
      <c r="AQ13" s="205">
        <v>2.4</v>
      </c>
      <c r="AR13" s="205">
        <v>2.2999999999999998</v>
      </c>
      <c r="AS13" s="205"/>
      <c r="AT13" s="205"/>
      <c r="AU13" s="205">
        <v>2.66</v>
      </c>
      <c r="AV13" s="205"/>
      <c r="AW13" s="205">
        <v>2.2999999999999998</v>
      </c>
      <c r="AX13" s="205"/>
      <c r="AY13" s="205"/>
      <c r="AZ13" s="206"/>
      <c r="BA13" s="201"/>
      <c r="BB13" s="202"/>
      <c r="BC13" s="203" t="s">
        <v>66</v>
      </c>
      <c r="BD13" s="202"/>
      <c r="BE13" s="204" t="s">
        <v>21</v>
      </c>
      <c r="BF13" s="205">
        <v>2.4</v>
      </c>
      <c r="BG13" s="205">
        <v>2.2999999999999998</v>
      </c>
      <c r="BH13" s="205"/>
      <c r="BI13" s="205"/>
      <c r="BJ13" s="205">
        <v>2.4</v>
      </c>
      <c r="BK13" s="205"/>
      <c r="BL13" s="205">
        <v>2.2999999999999998</v>
      </c>
      <c r="BM13" s="205"/>
      <c r="BN13" s="205"/>
      <c r="BO13" s="206"/>
    </row>
    <row r="14" spans="1:67" ht="13.15" customHeight="1">
      <c r="A14" s="30" t="s">
        <v>190</v>
      </c>
      <c r="B14" s="56"/>
      <c r="C14" s="57"/>
      <c r="D14" s="55"/>
      <c r="G14" s="30" t="s">
        <v>189</v>
      </c>
      <c r="I14" s="57"/>
      <c r="J14" s="96"/>
      <c r="K14" s="72"/>
      <c r="L14" s="30" t="s">
        <v>158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18">
        <f ca="1">AI46*100</f>
        <v>1.08</v>
      </c>
      <c r="E15" s="58" t="s">
        <v>46</v>
      </c>
      <c r="G15" s="69" t="s">
        <v>93</v>
      </c>
      <c r="I15" s="57"/>
      <c r="J15" s="153">
        <v>6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1.3312000000000002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19">
        <f ca="1">Source_Nominal_V-'7L3b'!AI47</f>
        <v>227.51599999999999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03" t="s">
        <v>70</v>
      </c>
      <c r="P16" s="304"/>
      <c r="Q16" s="279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59">
        <f>Ipsc_Max_DB</f>
        <v>14430</v>
      </c>
      <c r="E17" s="56" t="s">
        <v>56</v>
      </c>
      <c r="G17" s="55" t="s">
        <v>99</v>
      </c>
      <c r="I17" s="57"/>
      <c r="J17" s="155" t="s">
        <v>100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157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20">
        <f>Zs_DB</f>
        <v>7.3730000000000004E-2</v>
      </c>
      <c r="E18" s="72" t="s">
        <v>63</v>
      </c>
      <c r="G18" s="55" t="s">
        <v>206</v>
      </c>
      <c r="J18" s="55">
        <f>homerun_tp</f>
        <v>90</v>
      </c>
      <c r="K18" s="56" t="s">
        <v>207</v>
      </c>
      <c r="L18" s="225" t="s">
        <v>85</v>
      </c>
      <c r="M18" s="225" t="s">
        <v>86</v>
      </c>
      <c r="N18" s="226">
        <f>D23</f>
        <v>59</v>
      </c>
      <c r="O18" s="227" t="s">
        <v>86</v>
      </c>
      <c r="P18" s="85">
        <f>ROUND((P19),2)</f>
        <v>3.13</v>
      </c>
      <c r="Q18" s="84">
        <f>ROUND((((homerun_Vd)*P18*N18/1000)),4)</f>
        <v>2.2160000000000002</v>
      </c>
      <c r="R18" s="86">
        <f>Q18</f>
        <v>2.2160000000000002</v>
      </c>
      <c r="S18" s="87">
        <f t="shared" ref="S18:S45" si="3">ROUNDUP((100/nominal_V*R18),2)</f>
        <v>0.97</v>
      </c>
      <c r="T18" s="85">
        <f>ROUND((Ze+((homerun_PELI*N18/1000))),2)</f>
        <v>0.8</v>
      </c>
      <c r="U18" s="88">
        <f>ROUNDUP((nominal_V/((nominal_V/Ipsc)+(((homerun_R20c*mdb_CPD_R_Factor*N18*2)/1000)))),0)</f>
        <v>311</v>
      </c>
      <c r="V18" s="57"/>
      <c r="X18" s="89">
        <f>T18</f>
        <v>0.8</v>
      </c>
      <c r="Y18" s="89">
        <f>U18</f>
        <v>311</v>
      </c>
      <c r="Z18" s="89">
        <f>S18</f>
        <v>0.97</v>
      </c>
      <c r="AH18" s="34" t="s">
        <v>89</v>
      </c>
      <c r="AI18" s="34">
        <f>IF(homerun_tp=70,1.2,IF(homerun_tp=90,1.28,"ERR"))</f>
        <v>1.28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40</v>
      </c>
      <c r="K19" s="56" t="s">
        <v>56</v>
      </c>
      <c r="L19" s="243" t="s">
        <v>202</v>
      </c>
      <c r="M19" s="228">
        <v>1</v>
      </c>
      <c r="N19" s="229">
        <v>10</v>
      </c>
      <c r="O19" s="230"/>
      <c r="P19" s="231">
        <f t="shared" ref="P19:P45" si="4">ROUND((P20+O19),2)</f>
        <v>3.13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1.0016</v>
      </c>
      <c r="R19" s="91">
        <f t="shared" ref="R19:R45" si="6">IF(M19=0,0,IF(M19&gt;0.5,Q19+R18,err))</f>
        <v>3.2176</v>
      </c>
      <c r="S19" s="87">
        <f t="shared" si="3"/>
        <v>1.4</v>
      </c>
      <c r="T19" s="92">
        <f t="shared" ref="T19:T45" si="7">ROUNDUP((IF(M19=0,0,IF(M19&gt;0.5,(T18+((extender_PELI*N19)/1000))))),2)</f>
        <v>1</v>
      </c>
      <c r="U19" s="93">
        <f t="shared" ref="U19:U45" si="8">IF(M19=0,0,IF(M19&gt;0.5,(nominal_V/((nominal_V/U18)+((extender_R20cPHA*extender_CPD_R_Factor*N19*2)/1000)))))</f>
        <v>245.01171090897441</v>
      </c>
      <c r="V19" s="57"/>
      <c r="X19" s="94">
        <f t="shared" ref="X19:X45" si="9">IF(M19=0,0,IF(M19&gt;0.5,(T19-T18)))</f>
        <v>0.19999999999999996</v>
      </c>
      <c r="Y19" s="94">
        <f t="shared" ref="Y19:Y45" si="10">IF(M19=0,0,IF(M19&gt;0.5,(U19-U18)))</f>
        <v>-65.988289091025592</v>
      </c>
      <c r="Z19" s="94">
        <f t="shared" ref="Z19:Z45" si="11">IF(M19=0,0,IF(M19&gt;0.5,(S19-S18)))</f>
        <v>0.42999999999999994</v>
      </c>
      <c r="AH19" s="53" t="s">
        <v>91</v>
      </c>
      <c r="AI19" s="95">
        <f>AI17*AI18</f>
        <v>1.3312000000000002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37" t="s">
        <v>104</v>
      </c>
      <c r="L20" s="244" t="s">
        <v>202</v>
      </c>
      <c r="M20" s="228">
        <v>2</v>
      </c>
      <c r="N20" s="229">
        <v>10</v>
      </c>
      <c r="O20" s="230"/>
      <c r="P20" s="231">
        <f t="shared" si="4"/>
        <v>3.13</v>
      </c>
      <c r="Q20" s="90">
        <f t="shared" si="5"/>
        <v>1.0016</v>
      </c>
      <c r="R20" s="91">
        <f t="shared" si="6"/>
        <v>4.2191999999999998</v>
      </c>
      <c r="S20" s="87">
        <f t="shared" si="3"/>
        <v>1.84</v>
      </c>
      <c r="T20" s="92">
        <f t="shared" si="7"/>
        <v>1.2</v>
      </c>
      <c r="U20" s="93">
        <f t="shared" si="8"/>
        <v>202.12469272299475</v>
      </c>
      <c r="V20" s="57"/>
      <c r="X20" s="94">
        <f t="shared" si="9"/>
        <v>0.19999999999999996</v>
      </c>
      <c r="Y20" s="94">
        <f t="shared" si="10"/>
        <v>-42.887018185979656</v>
      </c>
      <c r="Z20" s="94">
        <f t="shared" si="11"/>
        <v>0.44000000000000017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191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38" t="s">
        <v>106</v>
      </c>
      <c r="L21" s="244" t="s">
        <v>202</v>
      </c>
      <c r="M21" s="228">
        <v>3</v>
      </c>
      <c r="N21" s="229">
        <v>9</v>
      </c>
      <c r="O21" s="230">
        <f>((Lum_D*4))/230</f>
        <v>1.0782608695652174</v>
      </c>
      <c r="P21" s="231">
        <f t="shared" si="4"/>
        <v>3.13</v>
      </c>
      <c r="Q21" s="90">
        <f t="shared" si="5"/>
        <v>0.90139999999999998</v>
      </c>
      <c r="R21" s="91">
        <f t="shared" si="6"/>
        <v>5.1205999999999996</v>
      </c>
      <c r="S21" s="87">
        <f t="shared" si="3"/>
        <v>2.23</v>
      </c>
      <c r="T21" s="92">
        <f t="shared" si="7"/>
        <v>1.3800000000000001</v>
      </c>
      <c r="U21" s="93">
        <f t="shared" si="8"/>
        <v>174.6162406759878</v>
      </c>
      <c r="V21" s="57"/>
      <c r="X21" s="94">
        <f t="shared" si="9"/>
        <v>0.18000000000000016</v>
      </c>
      <c r="Y21" s="94">
        <f t="shared" si="10"/>
        <v>-27.508452047006955</v>
      </c>
      <c r="Z21" s="94">
        <f t="shared" si="11"/>
        <v>0.3899999999999999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21">
        <f>Source_Nominal_V</f>
        <v>230</v>
      </c>
      <c r="E22" s="56" t="s">
        <v>44</v>
      </c>
      <c r="G22" s="55" t="s">
        <v>108</v>
      </c>
      <c r="I22" s="57"/>
      <c r="J22" s="55">
        <f>ROUNDUP((Homerun_ZinstPH+Homerun_ZinstCPC),2)</f>
        <v>12.28</v>
      </c>
      <c r="K22" s="238" t="s">
        <v>106</v>
      </c>
      <c r="L22" s="244" t="s">
        <v>202</v>
      </c>
      <c r="M22" s="228">
        <v>4</v>
      </c>
      <c r="N22" s="229">
        <v>3</v>
      </c>
      <c r="O22" s="230"/>
      <c r="P22" s="231">
        <f t="shared" si="4"/>
        <v>2.0499999999999998</v>
      </c>
      <c r="Q22" s="90">
        <f t="shared" si="5"/>
        <v>0.1968</v>
      </c>
      <c r="R22" s="91">
        <f t="shared" si="6"/>
        <v>5.3173999999999992</v>
      </c>
      <c r="S22" s="87">
        <f t="shared" si="3"/>
        <v>2.3199999999999998</v>
      </c>
      <c r="T22" s="92">
        <f t="shared" si="7"/>
        <v>1.44</v>
      </c>
      <c r="U22" s="93">
        <f t="shared" si="8"/>
        <v>167.03846048124527</v>
      </c>
      <c r="V22" s="57"/>
      <c r="X22" s="94">
        <f t="shared" si="9"/>
        <v>5.9999999999999831E-2</v>
      </c>
      <c r="Y22" s="94">
        <f t="shared" si="10"/>
        <v>-7.5777801947425303</v>
      </c>
      <c r="Z22" s="94">
        <f t="shared" si="11"/>
        <v>8.9999999999999858E-2</v>
      </c>
      <c r="AH22" s="97" t="s">
        <v>94</v>
      </c>
      <c r="AI22" s="54">
        <f>IF(homerun_ins="LSFZH",70,IF(homerun_ins="XL-LSFZH",90,"ERR"))</f>
        <v>90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22">
        <v>59</v>
      </c>
      <c r="E23" s="56" t="s">
        <v>51</v>
      </c>
      <c r="G23" s="55" t="s">
        <v>64</v>
      </c>
      <c r="I23" s="57"/>
      <c r="J23" s="110">
        <f>AQ58</f>
        <v>311</v>
      </c>
      <c r="K23" s="237" t="s">
        <v>56</v>
      </c>
      <c r="L23" s="244" t="s">
        <v>202</v>
      </c>
      <c r="M23" s="228">
        <v>5</v>
      </c>
      <c r="N23" s="229">
        <v>3</v>
      </c>
      <c r="O23" s="230">
        <f>((Lum_F*4))/230</f>
        <v>0.90434782608695652</v>
      </c>
      <c r="P23" s="231">
        <f t="shared" si="4"/>
        <v>2.0499999999999998</v>
      </c>
      <c r="Q23" s="90">
        <f t="shared" si="5"/>
        <v>0.1968</v>
      </c>
      <c r="R23" s="91">
        <f t="shared" si="6"/>
        <v>5.5141999999999989</v>
      </c>
      <c r="S23" s="87">
        <f t="shared" si="3"/>
        <v>2.4</v>
      </c>
      <c r="T23" s="92">
        <f t="shared" si="7"/>
        <v>1.5</v>
      </c>
      <c r="U23" s="93">
        <f t="shared" si="8"/>
        <v>160.09102756579762</v>
      </c>
      <c r="V23" s="57"/>
      <c r="X23" s="94">
        <f t="shared" si="9"/>
        <v>6.0000000000000053E-2</v>
      </c>
      <c r="Y23" s="94">
        <f t="shared" si="10"/>
        <v>-6.9474329154476493</v>
      </c>
      <c r="Z23" s="94">
        <f t="shared" si="11"/>
        <v>8.0000000000000071E-2</v>
      </c>
      <c r="AH23" s="97" t="s">
        <v>98</v>
      </c>
      <c r="AI23" s="54">
        <f>IF(homerun_ins="LSFZH",160,IF(homerun_ins="XL-LSFZH",250,"ERR"))</f>
        <v>250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2.92</v>
      </c>
      <c r="E24" s="58" t="s">
        <v>46</v>
      </c>
      <c r="G24" s="55" t="s">
        <v>110</v>
      </c>
      <c r="I24" s="57"/>
      <c r="J24" s="110">
        <f>AQ76</f>
        <v>500</v>
      </c>
      <c r="K24" s="237"/>
      <c r="L24" s="244" t="s">
        <v>202</v>
      </c>
      <c r="M24" s="228">
        <v>6</v>
      </c>
      <c r="N24" s="229">
        <v>2</v>
      </c>
      <c r="O24" s="230"/>
      <c r="P24" s="231">
        <f t="shared" si="4"/>
        <v>1.1499999999999999</v>
      </c>
      <c r="Q24" s="90">
        <f t="shared" si="5"/>
        <v>7.3599999999999999E-2</v>
      </c>
      <c r="R24" s="91">
        <f t="shared" si="6"/>
        <v>5.5877999999999988</v>
      </c>
      <c r="S24" s="87">
        <f t="shared" si="3"/>
        <v>2.4299999999999997</v>
      </c>
      <c r="T24" s="92">
        <f t="shared" si="7"/>
        <v>1.54</v>
      </c>
      <c r="U24" s="93">
        <f t="shared" si="8"/>
        <v>155.77180603471473</v>
      </c>
      <c r="V24" s="57"/>
      <c r="X24" s="94">
        <f t="shared" si="9"/>
        <v>4.0000000000000036E-2</v>
      </c>
      <c r="Y24" s="94">
        <f t="shared" si="10"/>
        <v>-4.3192215310828885</v>
      </c>
      <c r="Z24" s="94">
        <f t="shared" si="11"/>
        <v>2.9999999999999805E-2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17">
        <f>IF(C8="Power",0.4,IF(C8="Lighting",0.4,"err"))</f>
        <v>0.4</v>
      </c>
      <c r="E25" s="56" t="s">
        <v>61</v>
      </c>
      <c r="G25" s="55" t="s">
        <v>111</v>
      </c>
      <c r="I25" s="57"/>
      <c r="J25" s="110">
        <f>143^2*homerun_csa^2</f>
        <v>327184</v>
      </c>
      <c r="K25" s="237"/>
      <c r="L25" s="244" t="s">
        <v>202</v>
      </c>
      <c r="M25" s="228">
        <v>7</v>
      </c>
      <c r="N25" s="229">
        <v>3</v>
      </c>
      <c r="O25" s="230">
        <f>((Lum_K*1))/230</f>
        <v>0.23478260869565218</v>
      </c>
      <c r="P25" s="231">
        <f t="shared" si="4"/>
        <v>1.1499999999999999</v>
      </c>
      <c r="Q25" s="90">
        <f t="shared" si="5"/>
        <v>0.1104</v>
      </c>
      <c r="R25" s="91">
        <f t="shared" si="6"/>
        <v>5.698199999999999</v>
      </c>
      <c r="S25" s="87">
        <f t="shared" si="3"/>
        <v>2.48</v>
      </c>
      <c r="T25" s="92">
        <f t="shared" si="7"/>
        <v>1.6</v>
      </c>
      <c r="U25" s="93">
        <f t="shared" si="8"/>
        <v>149.71297036855776</v>
      </c>
      <c r="V25" s="57"/>
      <c r="X25" s="94">
        <f t="shared" si="9"/>
        <v>6.0000000000000053E-2</v>
      </c>
      <c r="Y25" s="94">
        <f t="shared" si="10"/>
        <v>-6.0588356661569662</v>
      </c>
      <c r="Z25" s="94">
        <f t="shared" si="11"/>
        <v>5.0000000000000266E-2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0.56999999999999995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113</v>
      </c>
      <c r="I26" s="57"/>
      <c r="J26" s="113" t="str">
        <f>AI41</f>
        <v>ü</v>
      </c>
      <c r="K26" s="237"/>
      <c r="L26" s="244" t="s">
        <v>202</v>
      </c>
      <c r="M26" s="228">
        <v>8</v>
      </c>
      <c r="N26" s="229">
        <v>3</v>
      </c>
      <c r="O26" s="230">
        <f>((Lum_K*1))/230</f>
        <v>0.23478260869565218</v>
      </c>
      <c r="P26" s="231">
        <f t="shared" si="4"/>
        <v>0.92</v>
      </c>
      <c r="Q26" s="90">
        <f t="shared" si="5"/>
        <v>8.8300000000000003E-2</v>
      </c>
      <c r="R26" s="91">
        <f t="shared" si="6"/>
        <v>5.7864999999999993</v>
      </c>
      <c r="S26" s="87">
        <f t="shared" si="3"/>
        <v>2.5199999999999996</v>
      </c>
      <c r="T26" s="92">
        <f t="shared" si="7"/>
        <v>1.66</v>
      </c>
      <c r="U26" s="93">
        <f t="shared" si="8"/>
        <v>144.10781256270798</v>
      </c>
      <c r="V26" s="57"/>
      <c r="X26" s="94">
        <f t="shared" si="9"/>
        <v>5.9999999999999831E-2</v>
      </c>
      <c r="Y26" s="94">
        <f t="shared" si="10"/>
        <v>-5.6051578058497853</v>
      </c>
      <c r="Z26" s="94">
        <f t="shared" si="11"/>
        <v>3.9999999999999591E-2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39"/>
      <c r="L27" s="244" t="s">
        <v>202</v>
      </c>
      <c r="M27" s="228">
        <v>9</v>
      </c>
      <c r="N27" s="229">
        <v>3</v>
      </c>
      <c r="O27" s="230">
        <f>((Lum_K*1))/230</f>
        <v>0.23478260869565218</v>
      </c>
      <c r="P27" s="231">
        <f t="shared" si="4"/>
        <v>0.69</v>
      </c>
      <c r="Q27" s="90">
        <f t="shared" si="5"/>
        <v>6.6199999999999995E-2</v>
      </c>
      <c r="R27" s="91">
        <f t="shared" si="6"/>
        <v>5.8526999999999996</v>
      </c>
      <c r="S27" s="87">
        <f t="shared" si="3"/>
        <v>2.5499999999999998</v>
      </c>
      <c r="T27" s="92">
        <f t="shared" si="7"/>
        <v>1.72</v>
      </c>
      <c r="U27" s="93">
        <f t="shared" si="8"/>
        <v>138.90721531135057</v>
      </c>
      <c r="V27" s="57"/>
      <c r="X27" s="94">
        <f t="shared" si="9"/>
        <v>6.0000000000000053E-2</v>
      </c>
      <c r="Y27" s="94">
        <f t="shared" si="10"/>
        <v>-5.2005972513574079</v>
      </c>
      <c r="Z27" s="94">
        <f t="shared" si="11"/>
        <v>3.0000000000000249E-2</v>
      </c>
      <c r="AH27" s="53" t="s">
        <v>107</v>
      </c>
      <c r="AI27" s="106">
        <f>mdb_Cg</f>
        <v>0.56999999999999995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40"/>
      <c r="L28" s="244" t="s">
        <v>202</v>
      </c>
      <c r="M28" s="228">
        <v>10</v>
      </c>
      <c r="N28" s="229">
        <v>3</v>
      </c>
      <c r="O28" s="230">
        <f>((Lum_K*1))/230</f>
        <v>0.23478260869565218</v>
      </c>
      <c r="P28" s="231">
        <f t="shared" si="4"/>
        <v>0.46</v>
      </c>
      <c r="Q28" s="90">
        <f t="shared" si="5"/>
        <v>4.4200000000000003E-2</v>
      </c>
      <c r="R28" s="91">
        <f t="shared" si="6"/>
        <v>5.8968999999999996</v>
      </c>
      <c r="S28" s="87">
        <f t="shared" si="3"/>
        <v>2.57</v>
      </c>
      <c r="T28" s="92">
        <f t="shared" si="7"/>
        <v>1.78</v>
      </c>
      <c r="U28" s="93">
        <f t="shared" si="8"/>
        <v>134.06890457559541</v>
      </c>
      <c r="V28" s="57"/>
      <c r="X28" s="94">
        <f t="shared" si="9"/>
        <v>6.0000000000000053E-2</v>
      </c>
      <c r="Y28" s="94">
        <f t="shared" si="10"/>
        <v>-4.838310735755158</v>
      </c>
      <c r="Z28" s="94">
        <f t="shared" si="11"/>
        <v>2.0000000000000018E-2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10</v>
      </c>
      <c r="E29" s="55" t="s">
        <v>56</v>
      </c>
      <c r="G29" s="96" t="s">
        <v>200</v>
      </c>
      <c r="I29" s="57"/>
      <c r="J29" s="96"/>
      <c r="K29" s="237"/>
      <c r="L29" s="244" t="s">
        <v>202</v>
      </c>
      <c r="M29" s="228">
        <v>11</v>
      </c>
      <c r="N29" s="229">
        <v>3</v>
      </c>
      <c r="O29" s="230"/>
      <c r="P29" s="231">
        <f t="shared" si="4"/>
        <v>0.23</v>
      </c>
      <c r="Q29" s="90">
        <f t="shared" si="5"/>
        <v>2.2100000000000002E-2</v>
      </c>
      <c r="R29" s="91">
        <f t="shared" si="6"/>
        <v>5.9189999999999996</v>
      </c>
      <c r="S29" s="87">
        <f t="shared" si="3"/>
        <v>2.5799999999999996</v>
      </c>
      <c r="T29" s="92">
        <f t="shared" si="7"/>
        <v>1.84</v>
      </c>
      <c r="U29" s="93">
        <f t="shared" si="8"/>
        <v>129.55629790061295</v>
      </c>
      <c r="V29" s="57"/>
      <c r="X29" s="94">
        <f t="shared" si="9"/>
        <v>6.0000000000000053E-2</v>
      </c>
      <c r="Y29" s="94">
        <f t="shared" si="10"/>
        <v>-4.5126066749824645</v>
      </c>
      <c r="Z29" s="94">
        <f t="shared" si="11"/>
        <v>9.9999999999997868E-3</v>
      </c>
      <c r="AH29" s="53" t="s">
        <v>109</v>
      </c>
      <c r="AI29" s="106">
        <f>In/Homerun_Cg</f>
        <v>17.543859649122808</v>
      </c>
      <c r="AJ29" s="106">
        <f>In/extender_Cg</f>
        <v>14.084507042253522</v>
      </c>
      <c r="AK29" s="106">
        <f>In/SD_Cg</f>
        <v>5.8479532163742691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119</v>
      </c>
      <c r="I30" s="57"/>
      <c r="J30" s="153">
        <v>10</v>
      </c>
      <c r="K30" s="237"/>
      <c r="L30" s="244" t="s">
        <v>199</v>
      </c>
      <c r="M30" s="228">
        <v>12</v>
      </c>
      <c r="N30" s="229">
        <v>1</v>
      </c>
      <c r="O30" s="230">
        <f>((Lum_K*1))/230</f>
        <v>0.23478260869565218</v>
      </c>
      <c r="P30" s="231">
        <f t="shared" si="4"/>
        <v>0.23</v>
      </c>
      <c r="Q30" s="90">
        <f t="shared" si="5"/>
        <v>7.4000000000000003E-3</v>
      </c>
      <c r="R30" s="91">
        <f t="shared" si="6"/>
        <v>5.9263999999999992</v>
      </c>
      <c r="S30" s="87">
        <f t="shared" si="3"/>
        <v>2.5799999999999996</v>
      </c>
      <c r="T30" s="92">
        <f t="shared" si="7"/>
        <v>1.86</v>
      </c>
      <c r="U30" s="93">
        <f t="shared" si="8"/>
        <v>128.11885299606598</v>
      </c>
      <c r="V30" s="57"/>
      <c r="X30" s="94">
        <f t="shared" si="9"/>
        <v>2.0000000000000018E-2</v>
      </c>
      <c r="Y30" s="94">
        <f t="shared" si="10"/>
        <v>-1.4374449045469646</v>
      </c>
      <c r="Z30" s="94">
        <f t="shared" si="11"/>
        <v>0</v>
      </c>
      <c r="AL30" s="5"/>
      <c r="AQ30" s="111">
        <f>IF(AND(In=10,cpd_type="B"),AQ7,IF(AND(In=10,cpd_type="C"),AQ8,IF(AND(In=10,cpd_type="D"),AQ9,)))</f>
        <v>2.4</v>
      </c>
      <c r="AR30" s="111">
        <f t="shared" ref="AR30:AY30" si="13">IF(AND(In=10,cpd_type="B"),AR7,IF(AND(In=10,cpd_type="C"),AR8,IF(AND(In=10,cpd_type="D"),AR9,0)))</f>
        <v>2.2000000000000002</v>
      </c>
      <c r="AS30" s="111">
        <f t="shared" si="13"/>
        <v>0</v>
      </c>
      <c r="AT30" s="111">
        <f t="shared" si="13"/>
        <v>0</v>
      </c>
      <c r="AU30" s="111">
        <f t="shared" si="13"/>
        <v>5.33</v>
      </c>
      <c r="AV30" s="111">
        <f t="shared" si="13"/>
        <v>0</v>
      </c>
      <c r="AW30" s="111">
        <f t="shared" si="13"/>
        <v>2.95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2.4</v>
      </c>
      <c r="BG30" s="111">
        <f t="shared" ref="BG30:BN30" si="14">IF(AND(In=10,cpd_type="B"),BG7,IF(AND(In=10,cpd_type="C"),BG8,IF(AND(In=10,cpd_type="D"),BG9,0)))</f>
        <v>2.2000000000000002</v>
      </c>
      <c r="BH30" s="111">
        <f t="shared" si="14"/>
        <v>0</v>
      </c>
      <c r="BI30" s="111">
        <f t="shared" si="14"/>
        <v>0</v>
      </c>
      <c r="BJ30" s="111">
        <f t="shared" si="14"/>
        <v>2.4</v>
      </c>
      <c r="BK30" s="111">
        <f t="shared" si="14"/>
        <v>0</v>
      </c>
      <c r="BL30" s="111">
        <f t="shared" si="14"/>
        <v>2.2999999999999998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5</v>
      </c>
      <c r="E31" s="56"/>
      <c r="G31" s="55" t="s">
        <v>96</v>
      </c>
      <c r="I31" s="57"/>
      <c r="J31" s="154">
        <f>IF(Service="Lighting",2.5,IF(Service="Power",4,"Error"))</f>
        <v>2.5</v>
      </c>
      <c r="K31" s="241" t="s">
        <v>97</v>
      </c>
      <c r="L31" s="244"/>
      <c r="M31" s="228"/>
      <c r="N31" s="229"/>
      <c r="O31" s="230"/>
      <c r="P31" s="23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112</v>
      </c>
      <c r="AI31" s="106" t="str">
        <f>CPD</f>
        <v>ABB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2.2000000000000002</v>
      </c>
      <c r="E32" s="72" t="s">
        <v>63</v>
      </c>
      <c r="G32" s="55" t="s">
        <v>99</v>
      </c>
      <c r="I32" s="57"/>
      <c r="J32" s="155" t="str">
        <f>IF(Service="Lighting","LSFZH",IF(Service="Power","XL-LSFZH","Error"))</f>
        <v>LSFZH</v>
      </c>
      <c r="K32" s="237"/>
      <c r="L32" s="244"/>
      <c r="M32" s="228"/>
      <c r="N32" s="229"/>
      <c r="O32" s="230"/>
      <c r="P32" s="23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114</v>
      </c>
      <c r="AI32" s="106">
        <f>IF(CPD="BS7671",AQ35,IF(CPD="ABB",AR35,IF(CPD="Crabtree",AS35,IF(CPD="Dorman",AT35,IF(CPD="Hager",AU35,IF(CPD="MEM",AV35,IF(CPD="Schneider",AW35,IF(CPD="Sq D",AY35,"ERR"))))))))</f>
        <v>2.2000000000000002</v>
      </c>
      <c r="AL32" s="5"/>
      <c r="AQ32" s="111">
        <f>IF(AND(In=20,cpd_type="B"),AQ13,IF(AND(In=20,cpd_type="C"),AQ14,IF(AND(In=20,cpd_type="D"),AQ15,0)))</f>
        <v>0</v>
      </c>
      <c r="AR32" s="111">
        <f t="shared" ref="AR32:AY32" si="17">IF(AND(In=20,cpd_type="B"),AR13,IF(AND(In=20,cpd_type="C"),AR14,IF(AND(In=20,cpd_type="D"),AR15,IF(AND(In=25,cpd_type="D"),AR18,IF(AND(In=25,cpd_type="D"),AR21,0)))))</f>
        <v>0</v>
      </c>
      <c r="AS32" s="111">
        <f t="shared" si="17"/>
        <v>0</v>
      </c>
      <c r="AT32" s="111">
        <f t="shared" si="17"/>
        <v>0</v>
      </c>
      <c r="AU32" s="111">
        <f t="shared" si="17"/>
        <v>0</v>
      </c>
      <c r="AV32" s="111">
        <f t="shared" si="17"/>
        <v>0</v>
      </c>
      <c r="AW32" s="111">
        <f t="shared" si="17"/>
        <v>0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0</v>
      </c>
      <c r="BG32" s="111">
        <f t="shared" ref="BG32:BN32" si="18">IF(AND(In=20,cpd_type="B"),BG13,IF(AND(In=20,cpd_type="C"),BG14,IF(AND(In=20,cpd_type="D"),BG15,IF(AND(In=25,cpd_type="D"),BG18,IF(AND(In=25,cpd_type="D"),BG21,0)))))</f>
        <v>0</v>
      </c>
      <c r="BH32" s="111">
        <f t="shared" si="18"/>
        <v>0</v>
      </c>
      <c r="BI32" s="111">
        <f t="shared" si="18"/>
        <v>0</v>
      </c>
      <c r="BJ32" s="111">
        <f t="shared" si="18"/>
        <v>0</v>
      </c>
      <c r="BK32" s="111">
        <f t="shared" si="18"/>
        <v>0</v>
      </c>
      <c r="BL32" s="111">
        <f t="shared" si="18"/>
        <v>0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206</v>
      </c>
      <c r="J33" s="55">
        <f>extender_tp</f>
        <v>70</v>
      </c>
      <c r="K33" s="56" t="s">
        <v>207</v>
      </c>
      <c r="L33" s="244"/>
      <c r="M33" s="228"/>
      <c r="N33" s="229"/>
      <c r="O33" s="230"/>
      <c r="P33" s="23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115</v>
      </c>
      <c r="AI33" s="106">
        <f>IF(CPD="BS7671",BF35,IF(CPD="ABB",BG35,IF(CPD="Crabtree",BH35,IF(CPD="Dorman",BI35,IF(CPD="Hager",BJ35,IF(CPD="MEM",BK35,IF(CPD="Schneider",BJ35,IF(CPD="Sq D",BN35,"ERR"))))))))</f>
        <v>2.2000000000000002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25</v>
      </c>
      <c r="K34" s="237" t="s">
        <v>56</v>
      </c>
      <c r="L34" s="244"/>
      <c r="M34" s="228"/>
      <c r="N34" s="229"/>
      <c r="O34" s="230"/>
      <c r="P34" s="23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2.2000000000000002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19</v>
      </c>
      <c r="K35" s="237" t="s">
        <v>104</v>
      </c>
      <c r="L35" s="244"/>
      <c r="M35" s="228"/>
      <c r="N35" s="229"/>
      <c r="O35" s="230"/>
      <c r="P35" s="23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121</v>
      </c>
      <c r="AQ35" s="111">
        <f t="shared" ref="AQ35:AY35" si="23">SUM(AQ29:AQ34)</f>
        <v>2.4</v>
      </c>
      <c r="AR35" s="111">
        <f t="shared" si="23"/>
        <v>2.2000000000000002</v>
      </c>
      <c r="AS35" s="111">
        <f t="shared" si="23"/>
        <v>0</v>
      </c>
      <c r="AT35" s="111">
        <f t="shared" si="23"/>
        <v>0</v>
      </c>
      <c r="AU35" s="111">
        <f t="shared" si="23"/>
        <v>5.33</v>
      </c>
      <c r="AV35" s="111">
        <f t="shared" si="23"/>
        <v>0</v>
      </c>
      <c r="AW35" s="111">
        <f t="shared" si="23"/>
        <v>2.95</v>
      </c>
      <c r="AX35" s="111">
        <f t="shared" si="23"/>
        <v>0</v>
      </c>
      <c r="AY35" s="111">
        <f t="shared" si="23"/>
        <v>0</v>
      </c>
      <c r="BC35" s="34"/>
      <c r="BE35" s="18" t="s">
        <v>121</v>
      </c>
      <c r="BF35" s="111">
        <f t="shared" ref="BF35:BN35" si="24">SUM(BF29:BF34)</f>
        <v>2.4</v>
      </c>
      <c r="BG35" s="111">
        <f t="shared" si="24"/>
        <v>2.2000000000000002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7.98</v>
      </c>
      <c r="K36" s="238" t="s">
        <v>106</v>
      </c>
      <c r="L36" s="244"/>
      <c r="M36" s="228"/>
      <c r="N36" s="229"/>
      <c r="O36" s="230"/>
      <c r="P36" s="23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123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108</v>
      </c>
      <c r="I37" s="7"/>
      <c r="J37" s="55">
        <f>ROUNDUP((Extender_ZinstPH+Extender_ZinstCPC),2)</f>
        <v>19.920000000000002</v>
      </c>
      <c r="K37" s="238" t="s">
        <v>106</v>
      </c>
      <c r="L37" s="244"/>
      <c r="M37" s="228"/>
      <c r="N37" s="229"/>
      <c r="O37" s="230"/>
      <c r="P37" s="23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125</v>
      </c>
      <c r="AI37" s="120"/>
      <c r="AJ37" s="120" t="str">
        <f>IF(extender_It1&gt;=(In/extender_Cg),AJ39,AJ40)</f>
        <v>ü</v>
      </c>
      <c r="AK37" s="34"/>
      <c r="AP37" s="18" t="str">
        <f>D31</f>
        <v>ABB</v>
      </c>
      <c r="AQ37" s="32"/>
      <c r="BE37" s="18" t="str">
        <f>D31</f>
        <v>ABB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138</v>
      </c>
      <c r="H38" s="55"/>
      <c r="I38" s="57"/>
      <c r="J38" s="110">
        <f>AQ59</f>
        <v>245.01171090897441</v>
      </c>
      <c r="K38" s="237" t="s">
        <v>56</v>
      </c>
      <c r="L38" s="244"/>
      <c r="M38" s="228"/>
      <c r="N38" s="229"/>
      <c r="O38" s="230"/>
      <c r="P38" s="23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126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305" t="str">
        <f>IF(J7=0,"This calculation is un-checked",0)</f>
        <v>This calculation is un-checked</v>
      </c>
      <c r="C39" s="306"/>
      <c r="D39" s="306"/>
      <c r="G39" s="55" t="s">
        <v>140</v>
      </c>
      <c r="I39" s="57"/>
      <c r="J39" s="110">
        <f>AQ60</f>
        <v>128.11885299606598</v>
      </c>
      <c r="K39" s="237" t="s">
        <v>56</v>
      </c>
      <c r="L39" s="244"/>
      <c r="M39" s="228"/>
      <c r="N39" s="229"/>
      <c r="O39" s="230"/>
      <c r="P39" s="23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128</v>
      </c>
      <c r="AI39" s="120" t="str">
        <f ca="1">IF((ROUNDUP((100/nominal_V*D60),2))&lt;=Max_VD,AJ39,AJ40)</f>
        <v>ü</v>
      </c>
      <c r="AJ39" s="120" t="s">
        <v>129</v>
      </c>
      <c r="AK39" s="120" t="s">
        <v>129</v>
      </c>
      <c r="BA39" s="55"/>
      <c r="BB39" s="55"/>
    </row>
    <row r="40" spans="2:66" ht="13.15" customHeight="1">
      <c r="B40" s="306"/>
      <c r="C40" s="306"/>
      <c r="D40" s="306"/>
      <c r="G40" s="55" t="s">
        <v>143</v>
      </c>
      <c r="I40" s="57"/>
      <c r="J40" s="110">
        <f>AS76</f>
        <v>300</v>
      </c>
      <c r="K40" s="237"/>
      <c r="L40" s="244"/>
      <c r="M40" s="228"/>
      <c r="N40" s="229"/>
      <c r="O40" s="230"/>
      <c r="P40" s="23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131</v>
      </c>
      <c r="AI40" s="120" t="str">
        <f>IF(D58&lt;=D32,AJ39,AJ40)</f>
        <v>ü</v>
      </c>
      <c r="AJ40" s="120" t="s">
        <v>132</v>
      </c>
      <c r="AK40" s="120" t="s">
        <v>132</v>
      </c>
      <c r="AM40" s="121"/>
      <c r="AN40" s="121"/>
      <c r="AO40" s="121"/>
      <c r="AP40" s="121"/>
      <c r="AQ40" s="32" t="s">
        <v>133</v>
      </c>
      <c r="AR40" s="121"/>
      <c r="AS40" s="32" t="s">
        <v>134</v>
      </c>
      <c r="AT40" s="121"/>
      <c r="AU40" s="121"/>
      <c r="AV40" s="121"/>
      <c r="AW40" s="122"/>
      <c r="BA40" s="55"/>
      <c r="BB40" s="55"/>
    </row>
    <row r="41" spans="2:66" ht="13.15" customHeight="1">
      <c r="B41" s="306"/>
      <c r="C41" s="306"/>
      <c r="D41" s="306"/>
      <c r="G41" s="55" t="s">
        <v>145</v>
      </c>
      <c r="H41" s="7"/>
      <c r="I41" s="57"/>
      <c r="J41" s="110">
        <f>AU76</f>
        <v>70</v>
      </c>
      <c r="K41" s="237"/>
      <c r="L41" s="244"/>
      <c r="M41" s="228"/>
      <c r="N41" s="229"/>
      <c r="O41" s="230"/>
      <c r="P41" s="23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201</v>
      </c>
      <c r="AH41" s="53" t="s">
        <v>136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137</v>
      </c>
      <c r="AS41" s="32" t="s">
        <v>73</v>
      </c>
      <c r="AT41" s="32" t="s">
        <v>137</v>
      </c>
      <c r="AU41" s="32"/>
      <c r="AV41" s="121"/>
      <c r="AW41" s="122"/>
      <c r="BA41" s="55"/>
      <c r="BB41" s="55"/>
    </row>
    <row r="42" spans="2:66" ht="13.15" customHeight="1">
      <c r="B42" s="306"/>
      <c r="C42" s="306"/>
      <c r="D42" s="306"/>
      <c r="G42" s="55" t="s">
        <v>111</v>
      </c>
      <c r="I42" s="57"/>
      <c r="J42" s="110">
        <f>143^2*extender_csa^2</f>
        <v>127806.25</v>
      </c>
      <c r="K42" s="237"/>
      <c r="L42" s="244"/>
      <c r="M42" s="228"/>
      <c r="N42" s="229"/>
      <c r="O42" s="230"/>
      <c r="P42" s="23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192</v>
      </c>
      <c r="AH42" s="53" t="s">
        <v>139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306"/>
      <c r="C43" s="306"/>
      <c r="D43" s="306"/>
      <c r="G43" s="54" t="s">
        <v>146</v>
      </c>
      <c r="I43" s="57"/>
      <c r="J43" s="113" t="str">
        <f>AI42</f>
        <v>ü</v>
      </c>
      <c r="K43" s="237"/>
      <c r="L43" s="244"/>
      <c r="M43" s="228"/>
      <c r="N43" s="229"/>
      <c r="O43" s="230"/>
      <c r="P43" s="23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142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306"/>
      <c r="C44" s="306"/>
      <c r="D44" s="306"/>
      <c r="G44" s="54" t="s">
        <v>147</v>
      </c>
      <c r="I44" s="57"/>
      <c r="J44" s="113" t="str">
        <f>AI43</f>
        <v>ü</v>
      </c>
      <c r="K44" s="237"/>
      <c r="L44" s="244"/>
      <c r="M44" s="228"/>
      <c r="N44" s="229"/>
      <c r="O44" s="230"/>
      <c r="P44" s="23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144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40"/>
      <c r="L45" s="245"/>
      <c r="M45" s="228"/>
      <c r="N45" s="229"/>
      <c r="O45" s="230"/>
      <c r="P45" s="23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40"/>
      <c r="L46" s="233"/>
      <c r="M46" s="234"/>
      <c r="N46" s="235"/>
      <c r="O46" s="236"/>
      <c r="P46" s="57"/>
      <c r="Q46" s="57"/>
      <c r="S46" s="56"/>
      <c r="V46" s="57"/>
      <c r="X46" s="106">
        <f>SUM(X18:X45)</f>
        <v>1.86</v>
      </c>
      <c r="Y46" s="106">
        <f>SUM(Y18:Y45)</f>
        <v>128.11885299606598</v>
      </c>
      <c r="Z46" s="106">
        <f>SUM(Z18:Z45)</f>
        <v>2.5799999999999996</v>
      </c>
      <c r="AC46" s="41"/>
      <c r="AG46" s="41"/>
      <c r="AH46" s="53" t="s">
        <v>188</v>
      </c>
      <c r="AI46" s="257">
        <f ca="1">IF(ISNUMBER(SEARCH("L1",C12)),VD_L1,IF(ISNUMBER(SEARCH("L2",C12)),VD_L2,IF(ISNUMBER(SEARCH("L3",C12)),VD_L3,"")))</f>
        <v>1.0800000000000001E-2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SWITCH DROP/UN-ARMOURED CABLE:</v>
      </c>
      <c r="I47" s="57"/>
      <c r="J47" s="96"/>
      <c r="K47" s="242"/>
      <c r="L47" s="30" t="s">
        <v>116</v>
      </c>
      <c r="M47" s="57"/>
      <c r="P47" s="57"/>
      <c r="Q47" s="56"/>
      <c r="R47" s="30" t="s">
        <v>117</v>
      </c>
      <c r="S47" s="131"/>
      <c r="T47" s="128"/>
      <c r="U47" s="117" t="s">
        <v>118</v>
      </c>
      <c r="V47" s="57"/>
      <c r="AH47" s="53" t="s">
        <v>188</v>
      </c>
      <c r="AI47" s="258">
        <f ca="1">Source_Nominal_V*(AI46)</f>
        <v>2.484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119</v>
      </c>
      <c r="I48" s="57"/>
      <c r="J48" s="153">
        <v>1</v>
      </c>
      <c r="K48" s="56"/>
      <c r="L48" s="54" t="s">
        <v>195</v>
      </c>
      <c r="M48" s="57"/>
      <c r="P48" s="57"/>
      <c r="Q48" s="56"/>
      <c r="R48" s="55" t="s">
        <v>120</v>
      </c>
      <c r="U48" s="133" t="str">
        <f>AI36</f>
        <v>ü</v>
      </c>
      <c r="V48" s="57"/>
      <c r="AH48" s="53" t="s">
        <v>241</v>
      </c>
      <c r="AI48" s="258">
        <f ca="1">IF(ISNUMBER(SEARCH("L1",C12)),VDV_L1,IF(ISNUMBER(SEARCH("L2",C12)),VDV_L2,IF(ISNUMBER(SEARCH("L3",C12)),VDV_L3,"")))</f>
        <v>229.7516</v>
      </c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1.5</v>
      </c>
      <c r="K49" s="56" t="s">
        <v>97</v>
      </c>
      <c r="L49" s="54" t="s">
        <v>184</v>
      </c>
      <c r="M49" s="57"/>
      <c r="P49" s="57"/>
      <c r="Q49" s="56"/>
      <c r="R49" s="55" t="s">
        <v>122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148</v>
      </c>
      <c r="K50" s="56"/>
      <c r="L50" s="54" t="s">
        <v>197</v>
      </c>
      <c r="M50" s="22"/>
      <c r="N50" s="22"/>
      <c r="O50" s="22"/>
      <c r="P50" s="22"/>
      <c r="Q50" s="56"/>
      <c r="R50" s="55" t="s">
        <v>124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206</v>
      </c>
      <c r="J51" s="55">
        <f>SD_tp</f>
        <v>70</v>
      </c>
      <c r="K51" s="56" t="s">
        <v>207</v>
      </c>
      <c r="L51" s="134" t="s">
        <v>198</v>
      </c>
      <c r="M51" s="57"/>
      <c r="P51" s="57"/>
      <c r="Q51" s="56"/>
      <c r="R51" s="55" t="str">
        <f ca="1">"Voltage Drop less than "&amp;Max_VD&amp;"%:"</f>
        <v>Voltage Drop less than 2.92%: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16</v>
      </c>
      <c r="K52" s="56" t="s">
        <v>56</v>
      </c>
      <c r="L52" s="134" t="s">
        <v>196</v>
      </c>
      <c r="M52" s="57"/>
      <c r="P52" s="57"/>
      <c r="Q52" s="56"/>
      <c r="R52" s="55" t="s">
        <v>127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32</v>
      </c>
      <c r="K53" s="56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13.3</v>
      </c>
      <c r="K54" s="72" t="s">
        <v>106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108</v>
      </c>
      <c r="I55" s="57"/>
      <c r="J55" s="55">
        <f>ROUNDUP((SD_ZinstPH+SD_ZinstCPC),2)</f>
        <v>33.199999999999996</v>
      </c>
      <c r="K55" s="72" t="s">
        <v>106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1">
        <f>P18</f>
        <v>3.13</v>
      </c>
      <c r="E56" s="284"/>
      <c r="G56" s="55" t="s">
        <v>64</v>
      </c>
      <c r="I56" s="57"/>
      <c r="J56" s="110">
        <f>AQ61</f>
        <v>128.11885299606598</v>
      </c>
      <c r="K56" s="56" t="s">
        <v>56</v>
      </c>
      <c r="L56" s="30" t="s">
        <v>130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309">
        <f>SUM(N18:N37)</f>
        <v>112</v>
      </c>
      <c r="E57" s="284"/>
      <c r="F57" s="57"/>
      <c r="G57" s="55" t="s">
        <v>110</v>
      </c>
      <c r="I57" s="57"/>
      <c r="J57" s="110">
        <f>AU76</f>
        <v>70</v>
      </c>
      <c r="K57" s="56"/>
      <c r="L57" s="307" t="s">
        <v>135</v>
      </c>
      <c r="M57" s="310"/>
      <c r="N57" s="310"/>
      <c r="O57" s="310"/>
      <c r="P57" s="310"/>
      <c r="Q57" s="310"/>
      <c r="R57" s="310"/>
      <c r="S57" s="310"/>
      <c r="T57" s="310"/>
      <c r="U57" s="310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311">
        <f>X46</f>
        <v>1.86</v>
      </c>
      <c r="E58" s="312"/>
      <c r="G58" s="55" t="s">
        <v>111</v>
      </c>
      <c r="I58" s="57"/>
      <c r="J58" s="110">
        <f>143^2*SD_csa^2</f>
        <v>46010.25</v>
      </c>
      <c r="K58" s="56"/>
      <c r="L58" s="307" t="s">
        <v>182</v>
      </c>
      <c r="M58" s="308"/>
      <c r="N58" s="308"/>
      <c r="O58" s="308"/>
      <c r="P58" s="308"/>
      <c r="Q58" s="308"/>
      <c r="R58" s="308"/>
      <c r="S58" s="308"/>
      <c r="T58" s="308"/>
      <c r="U58" s="308"/>
      <c r="V58" s="57"/>
      <c r="AE58" s="55"/>
      <c r="AM58" s="135"/>
      <c r="AN58" s="136"/>
      <c r="AO58" s="136"/>
      <c r="AP58" s="137" t="s">
        <v>149</v>
      </c>
      <c r="AQ58" s="138">
        <f>U18</f>
        <v>311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313">
        <f>Y46</f>
        <v>128.11885299606598</v>
      </c>
      <c r="E59" s="284"/>
      <c r="G59" s="54" t="s">
        <v>113</v>
      </c>
      <c r="I59" s="57"/>
      <c r="J59" s="113" t="str">
        <f>Max_CPD2</f>
        <v>ü</v>
      </c>
      <c r="K59" s="56"/>
      <c r="L59" s="307" t="s">
        <v>141</v>
      </c>
      <c r="M59" s="308"/>
      <c r="N59" s="308"/>
      <c r="O59" s="308"/>
      <c r="P59" s="308"/>
      <c r="Q59" s="308"/>
      <c r="R59" s="308"/>
      <c r="S59" s="308"/>
      <c r="T59" s="308"/>
      <c r="U59" s="308"/>
      <c r="V59" s="57"/>
      <c r="AE59" s="55"/>
      <c r="AM59" s="141"/>
      <c r="AN59" s="142"/>
      <c r="AO59" s="142"/>
      <c r="AP59" s="143" t="s">
        <v>150</v>
      </c>
      <c r="AQ59" s="144">
        <f>U19</f>
        <v>245.01171090897441</v>
      </c>
      <c r="AR59" s="145"/>
      <c r="AS59" s="314" t="s">
        <v>159</v>
      </c>
      <c r="AT59" s="314"/>
      <c r="AU59" s="314"/>
      <c r="AV59" s="146"/>
      <c r="AW59" s="122"/>
    </row>
    <row r="60" spans="1:49" ht="13.15" customHeight="1">
      <c r="B60" s="129" t="s">
        <v>45</v>
      </c>
      <c r="C60" s="57"/>
      <c r="D60" s="315">
        <f>SUM(Q18:Q37)</f>
        <v>5.9263999999999992</v>
      </c>
      <c r="E60" s="284"/>
      <c r="L60" s="307" t="s">
        <v>183</v>
      </c>
      <c r="M60" s="308"/>
      <c r="N60" s="308"/>
      <c r="O60" s="308"/>
      <c r="P60" s="308"/>
      <c r="Q60" s="308"/>
      <c r="R60" s="308"/>
      <c r="S60" s="308"/>
      <c r="T60" s="308"/>
      <c r="U60" s="308"/>
      <c r="V60" s="57"/>
      <c r="AE60" s="55"/>
      <c r="AM60" s="141"/>
      <c r="AN60" s="142"/>
      <c r="AO60" s="142"/>
      <c r="AP60" s="143" t="s">
        <v>151</v>
      </c>
      <c r="AQ60" s="144">
        <f>Y46</f>
        <v>128.11885299606598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315">
        <f ca="1">V_Source-D60</f>
        <v>221.58959999999999</v>
      </c>
      <c r="E61" s="316"/>
      <c r="L61" s="307"/>
      <c r="M61" s="308"/>
      <c r="N61" s="308"/>
      <c r="O61" s="308"/>
      <c r="P61" s="308"/>
      <c r="Q61" s="308"/>
      <c r="R61" s="308"/>
      <c r="S61" s="308"/>
      <c r="T61" s="308"/>
      <c r="U61" s="308"/>
      <c r="V61" s="57"/>
      <c r="AE61" s="55"/>
      <c r="AM61" s="141"/>
      <c r="AN61" s="142"/>
      <c r="AO61" s="142"/>
      <c r="AP61" s="142" t="s">
        <v>152</v>
      </c>
      <c r="AQ61" s="144">
        <f>AQ60</f>
        <v>128.11885299606598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153</v>
      </c>
      <c r="AR62" s="142"/>
      <c r="AS62" s="142" t="s">
        <v>154</v>
      </c>
      <c r="AT62" s="142"/>
      <c r="AU62" s="142" t="s">
        <v>155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500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300</v>
      </c>
      <c r="AT74" s="148"/>
      <c r="AU74" s="143">
        <f>IF(AND($AQ$60&gt;=200,$AQ$60&lt;300),AT44,0)</f>
        <v>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70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156</v>
      </c>
      <c r="AQ76" s="143">
        <f>SUM(AQ63:AQ75)</f>
        <v>500</v>
      </c>
      <c r="AR76" s="142"/>
      <c r="AS76" s="143">
        <f>SUM(AS63:AS75)</f>
        <v>300</v>
      </c>
      <c r="AT76" s="148"/>
      <c r="AU76" s="143">
        <f>SUM(AU63:AU75)</f>
        <v>70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307"/>
      <c r="B113" s="308"/>
      <c r="C113" s="308"/>
      <c r="D113" s="308"/>
      <c r="E113" s="308"/>
      <c r="F113" s="308"/>
      <c r="G113" s="308"/>
      <c r="H113" s="308"/>
      <c r="I113" s="308"/>
      <c r="J113" s="308"/>
    </row>
    <row r="114" spans="1:10" ht="12.6" customHeight="1">
      <c r="A114" s="307"/>
      <c r="B114" s="308"/>
      <c r="C114" s="308"/>
      <c r="D114" s="308"/>
      <c r="E114" s="308"/>
      <c r="F114" s="308"/>
      <c r="G114" s="308"/>
      <c r="H114" s="308"/>
      <c r="I114" s="308"/>
      <c r="J114" s="308"/>
    </row>
    <row r="115" spans="1:10" ht="12.6" customHeight="1">
      <c r="A115" s="307"/>
      <c r="B115" s="308"/>
      <c r="C115" s="308"/>
      <c r="D115" s="308"/>
      <c r="E115" s="308"/>
      <c r="F115" s="308"/>
      <c r="G115" s="308"/>
      <c r="H115" s="308"/>
      <c r="I115" s="308"/>
      <c r="J115" s="308"/>
    </row>
    <row r="116" spans="1:10" ht="12.6" customHeight="1">
      <c r="A116" s="307"/>
      <c r="B116" s="308"/>
      <c r="C116" s="308"/>
      <c r="D116" s="308"/>
      <c r="E116" s="308"/>
      <c r="F116" s="308"/>
      <c r="G116" s="308"/>
      <c r="H116" s="308"/>
      <c r="I116" s="308"/>
      <c r="J116" s="308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30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</row>
    <row r="139" spans="4:28" ht="12.6" customHeight="1">
      <c r="E139" s="7"/>
      <c r="F139" s="30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8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5">
    <mergeCell ref="C4:G4"/>
    <mergeCell ref="J4:K4"/>
    <mergeCell ref="N4:Q4"/>
    <mergeCell ref="U4:V4"/>
    <mergeCell ref="C5:G5"/>
    <mergeCell ref="J5:K5"/>
    <mergeCell ref="N5:Q5"/>
    <mergeCell ref="U5:V5"/>
    <mergeCell ref="C6:G6"/>
    <mergeCell ref="J6:K6"/>
    <mergeCell ref="N6:Q6"/>
    <mergeCell ref="U6:V6"/>
    <mergeCell ref="C7:G7"/>
    <mergeCell ref="J7:K7"/>
    <mergeCell ref="N7:Q7"/>
    <mergeCell ref="U7:V7"/>
    <mergeCell ref="D56:E56"/>
    <mergeCell ref="C8:G8"/>
    <mergeCell ref="J8:K8"/>
    <mergeCell ref="N8:P8"/>
    <mergeCell ref="U8:V8"/>
    <mergeCell ref="C10:E10"/>
    <mergeCell ref="N10:P10"/>
    <mergeCell ref="N11:P11"/>
    <mergeCell ref="C12:E12"/>
    <mergeCell ref="N12:P12"/>
    <mergeCell ref="O16:P16"/>
    <mergeCell ref="B39:D44"/>
    <mergeCell ref="A113:J113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0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200</vt:i4>
      </vt:variant>
    </vt:vector>
  </HeadingPairs>
  <TitlesOfParts>
    <vt:vector size="204" baseType="lpstr">
      <vt:lpstr>Index</vt:lpstr>
      <vt:lpstr>Luminaire Schedule</vt:lpstr>
      <vt:lpstr>7L3a</vt:lpstr>
      <vt:lpstr>7L3b</vt:lpstr>
      <vt:lpstr>Area_Zone_Level</vt:lpstr>
      <vt:lpstr>'7L3a'!ccts_extender</vt:lpstr>
      <vt:lpstr>'7L3b'!ccts_extender</vt:lpstr>
      <vt:lpstr>'7L3a'!ccts_mdb</vt:lpstr>
      <vt:lpstr>'7L3b'!ccts_mdb</vt:lpstr>
      <vt:lpstr>'7L3a'!ccts_SD</vt:lpstr>
      <vt:lpstr>'7L3b'!ccts_SD</vt:lpstr>
      <vt:lpstr>'7L3a'!Cg_2</vt:lpstr>
      <vt:lpstr>'7L3b'!Cg_2</vt:lpstr>
      <vt:lpstr>'7L3a'!Combo_1</vt:lpstr>
      <vt:lpstr>'7L3b'!Combo_1</vt:lpstr>
      <vt:lpstr>'7L3a'!CPD</vt:lpstr>
      <vt:lpstr>'7L3b'!CPD</vt:lpstr>
      <vt:lpstr>'7L3a'!cpd_type</vt:lpstr>
      <vt:lpstr>'7L3b'!cpd_type</vt:lpstr>
      <vt:lpstr>Date</vt:lpstr>
      <vt:lpstr>DB_Ref</vt:lpstr>
      <vt:lpstr>'7L3a'!Disconnection_Time</vt:lpstr>
      <vt:lpstr>'7L3b'!Disconnection_Time</vt:lpstr>
      <vt:lpstr>Drawing_No</vt:lpstr>
      <vt:lpstr>'7L3a'!extender_Cg</vt:lpstr>
      <vt:lpstr>'7L3b'!extender_Cg</vt:lpstr>
      <vt:lpstr>'7L3a'!extender_CPD_R_Factor</vt:lpstr>
      <vt:lpstr>'7L3b'!extender_CPD_R_Factor</vt:lpstr>
      <vt:lpstr>'7L3a'!extender_csa</vt:lpstr>
      <vt:lpstr>'7L3b'!extender_csa</vt:lpstr>
      <vt:lpstr>'7L3a'!extender_i_limit</vt:lpstr>
      <vt:lpstr>'7L3b'!extender_i_limit</vt:lpstr>
      <vt:lpstr>'7L3a'!extender_ins</vt:lpstr>
      <vt:lpstr>'7L3b'!extender_ins</vt:lpstr>
      <vt:lpstr>'7L3a'!extender_It</vt:lpstr>
      <vt:lpstr>'7L3b'!extender_It</vt:lpstr>
      <vt:lpstr>'7L3a'!extender_It1</vt:lpstr>
      <vt:lpstr>'7L3b'!extender_It1</vt:lpstr>
      <vt:lpstr>'7L3a'!extender_It2</vt:lpstr>
      <vt:lpstr>'7L3b'!extender_It2</vt:lpstr>
      <vt:lpstr>'7L3a'!extender_PELI</vt:lpstr>
      <vt:lpstr>'7L3b'!extender_PELI</vt:lpstr>
      <vt:lpstr>'7L3a'!extender_R20cPHA</vt:lpstr>
      <vt:lpstr>'7L3b'!extender_R20cPHA</vt:lpstr>
      <vt:lpstr>'7L3a'!extender_tp</vt:lpstr>
      <vt:lpstr>'7L3b'!extender_tp</vt:lpstr>
      <vt:lpstr>'7L3a'!extender_Vd</vt:lpstr>
      <vt:lpstr>'7L3b'!extender_Vd</vt:lpstr>
      <vt:lpstr>'7L3a'!extender_Vd1</vt:lpstr>
      <vt:lpstr>'7L3b'!extender_Vd1</vt:lpstr>
      <vt:lpstr>'7L3a'!extender_Vd2</vt:lpstr>
      <vt:lpstr>'7L3b'!extender_Vd2</vt:lpstr>
      <vt:lpstr>'7L3a'!extender_Z1</vt:lpstr>
      <vt:lpstr>'7L3b'!extender_Z1</vt:lpstr>
      <vt:lpstr>'7L3a'!extender_Z2</vt:lpstr>
      <vt:lpstr>'7L3b'!extender_Z2</vt:lpstr>
      <vt:lpstr>'7L3a'!Extender_ZinstCPC</vt:lpstr>
      <vt:lpstr>'7L3b'!Extender_ZinstCPC</vt:lpstr>
      <vt:lpstr>'7L3a'!Extender_ZinstPH</vt:lpstr>
      <vt:lpstr>'7L3b'!Extender_ZinstPH</vt:lpstr>
      <vt:lpstr>'7L3a'!Homerun_Cg</vt:lpstr>
      <vt:lpstr>'7L3b'!Homerun_Cg</vt:lpstr>
      <vt:lpstr>'7L3a'!homerun_csa</vt:lpstr>
      <vt:lpstr>'7L3b'!homerun_csa</vt:lpstr>
      <vt:lpstr>'7L3a'!homerun_i_limit</vt:lpstr>
      <vt:lpstr>'7L3b'!homerun_i_limit</vt:lpstr>
      <vt:lpstr>'7L3a'!homerun_ins</vt:lpstr>
      <vt:lpstr>'7L3b'!homerun_ins</vt:lpstr>
      <vt:lpstr>'7L3a'!homerun_It</vt:lpstr>
      <vt:lpstr>'7L3b'!homerun_It</vt:lpstr>
      <vt:lpstr>'7L3a'!homerun_It1</vt:lpstr>
      <vt:lpstr>'7L3b'!homerun_It1</vt:lpstr>
      <vt:lpstr>'7L3a'!homerun_It2</vt:lpstr>
      <vt:lpstr>'7L3b'!homerun_It2</vt:lpstr>
      <vt:lpstr>'7L3a'!homerun_PELI</vt:lpstr>
      <vt:lpstr>'7L3b'!homerun_PELI</vt:lpstr>
      <vt:lpstr>'7L3a'!homerun_R20c</vt:lpstr>
      <vt:lpstr>'7L3b'!homerun_R20c</vt:lpstr>
      <vt:lpstr>'7L3a'!homerun_tp</vt:lpstr>
      <vt:lpstr>'7L3b'!homerun_tp</vt:lpstr>
      <vt:lpstr>'7L3a'!homerun_Vd</vt:lpstr>
      <vt:lpstr>'7L3b'!homerun_Vd</vt:lpstr>
      <vt:lpstr>'7L3a'!homerun_Vd1</vt:lpstr>
      <vt:lpstr>'7L3b'!homerun_Vd1</vt:lpstr>
      <vt:lpstr>'7L3a'!homerun_Vd2</vt:lpstr>
      <vt:lpstr>'7L3b'!homerun_Vd2</vt:lpstr>
      <vt:lpstr>'7L3a'!homerun_Z1</vt:lpstr>
      <vt:lpstr>'7L3b'!homerun_Z1</vt:lpstr>
      <vt:lpstr>'7L3a'!homerun_Z2</vt:lpstr>
      <vt:lpstr>'7L3b'!homerun_Z2</vt:lpstr>
      <vt:lpstr>'7L3a'!Homerun_ZinstCPC</vt:lpstr>
      <vt:lpstr>'7L3b'!Homerun_ZinstCPC</vt:lpstr>
      <vt:lpstr>'7L3a'!Homerun_ZinstPH</vt:lpstr>
      <vt:lpstr>'7L3b'!Homerun_ZinstPH</vt:lpstr>
      <vt:lpstr>'7L3a'!In</vt:lpstr>
      <vt:lpstr>'7L3b'!In</vt:lpstr>
      <vt:lpstr>'7L3a'!Ipsc</vt:lpstr>
      <vt:lpstr>'7L3b'!Ipsc</vt:lpstr>
      <vt:lpstr>Ipsc_Max_DB</vt:lpstr>
      <vt:lpstr>Lum_A</vt:lpstr>
      <vt:lpstr>Lum_B</vt:lpstr>
      <vt:lpstr>Lum_C</vt:lpstr>
      <vt:lpstr>Lum_C2</vt:lpstr>
      <vt:lpstr>Lum_C3</vt:lpstr>
      <vt:lpstr>Lum_D</vt:lpstr>
      <vt:lpstr>Lum_EM</vt:lpstr>
      <vt:lpstr>Lum_EX</vt:lpstr>
      <vt:lpstr>Lum_EX2</vt:lpstr>
      <vt:lpstr>Lum_F</vt:lpstr>
      <vt:lpstr>Lum_G</vt:lpstr>
      <vt:lpstr>Lum_H1</vt:lpstr>
      <vt:lpstr>Lum_H2</vt:lpstr>
      <vt:lpstr>Lum_J</vt:lpstr>
      <vt:lpstr>Lum_K</vt:lpstr>
      <vt:lpstr>Lum_L</vt:lpstr>
      <vt:lpstr>Lum_M</vt:lpstr>
      <vt:lpstr>Lum_M2</vt:lpstr>
      <vt:lpstr>Lum_N</vt:lpstr>
      <vt:lpstr>Lum_P</vt:lpstr>
      <vt:lpstr>Lum_P1</vt:lpstr>
      <vt:lpstr>Lum_Q</vt:lpstr>
      <vt:lpstr>Lum_Q2</vt:lpstr>
      <vt:lpstr>Lum_R</vt:lpstr>
      <vt:lpstr>Lum_S</vt:lpstr>
      <vt:lpstr>Lum_T</vt:lpstr>
      <vt:lpstr>Lum_U</vt:lpstr>
      <vt:lpstr>Lum_V</vt:lpstr>
      <vt:lpstr>Lum_W</vt:lpstr>
      <vt:lpstr>Lum_W1</vt:lpstr>
      <vt:lpstr>Lum_W2</vt:lpstr>
      <vt:lpstr>Lum_W3</vt:lpstr>
      <vt:lpstr>Lum_Y</vt:lpstr>
      <vt:lpstr>Lum_Y2</vt:lpstr>
      <vt:lpstr>'7L3a'!Max_CPD1</vt:lpstr>
      <vt:lpstr>'7L3b'!Max_CPD1</vt:lpstr>
      <vt:lpstr>'7L3a'!Max_CPD2</vt:lpstr>
      <vt:lpstr>'7L3b'!Max_CPD2</vt:lpstr>
      <vt:lpstr>'7L3a'!Max_VD</vt:lpstr>
      <vt:lpstr>'7L3b'!Max_VD</vt:lpstr>
      <vt:lpstr>Max_VD_percent</vt:lpstr>
      <vt:lpstr>'7L3a'!mdb_Cg</vt:lpstr>
      <vt:lpstr>'7L3b'!mdb_Cg</vt:lpstr>
      <vt:lpstr>'7L3a'!mdb_CPD_R_Factor</vt:lpstr>
      <vt:lpstr>'7L3b'!mdb_CPD_R_Factor</vt:lpstr>
      <vt:lpstr>'7L3a'!nominal_V</vt:lpstr>
      <vt:lpstr>'7L3b'!nominal_V</vt:lpstr>
      <vt:lpstr>Prep_By</vt:lpstr>
      <vt:lpstr>'7L3a'!Print_Area</vt:lpstr>
      <vt:lpstr>'7L3b'!Print_Area</vt:lpstr>
      <vt:lpstr>Index!Print_Area</vt:lpstr>
      <vt:lpstr>'7L3a'!Print_Titles</vt:lpstr>
      <vt:lpstr>'7L3b'!Print_Titles</vt:lpstr>
      <vt:lpstr>Index!Print_Titles</vt:lpstr>
      <vt:lpstr>Project_Name</vt:lpstr>
      <vt:lpstr>Project_No</vt:lpstr>
      <vt:lpstr>'7L3a'!SD_Cg</vt:lpstr>
      <vt:lpstr>'7L3b'!SD_Cg</vt:lpstr>
      <vt:lpstr>'7L3a'!SD_CPD_R_Factor</vt:lpstr>
      <vt:lpstr>'7L3b'!SD_CPD_R_Factor</vt:lpstr>
      <vt:lpstr>'7L3a'!SD_csa</vt:lpstr>
      <vt:lpstr>'7L3b'!SD_csa</vt:lpstr>
      <vt:lpstr>'7L3a'!SD_i_limit</vt:lpstr>
      <vt:lpstr>'7L3b'!SD_i_limit</vt:lpstr>
      <vt:lpstr>'7L3a'!SD_ins</vt:lpstr>
      <vt:lpstr>'7L3b'!SD_ins</vt:lpstr>
      <vt:lpstr>'7L3a'!SD_It</vt:lpstr>
      <vt:lpstr>'7L3b'!SD_It</vt:lpstr>
      <vt:lpstr>'7L3a'!SD_It1</vt:lpstr>
      <vt:lpstr>'7L3b'!SD_It1</vt:lpstr>
      <vt:lpstr>'7L3a'!SD_PELI</vt:lpstr>
      <vt:lpstr>'7L3b'!SD_PELI</vt:lpstr>
      <vt:lpstr>'7L3a'!SD_R20c</vt:lpstr>
      <vt:lpstr>'7L3b'!SD_R20c</vt:lpstr>
      <vt:lpstr>'7L3a'!SD_tp</vt:lpstr>
      <vt:lpstr>'7L3b'!SD_tp</vt:lpstr>
      <vt:lpstr>'7L3a'!SD_Vd</vt:lpstr>
      <vt:lpstr>'7L3b'!SD_Vd</vt:lpstr>
      <vt:lpstr>'7L3a'!SD_Vd1</vt:lpstr>
      <vt:lpstr>'7L3b'!SD_Vd1</vt:lpstr>
      <vt:lpstr>'7L3a'!SD_Z1</vt:lpstr>
      <vt:lpstr>'7L3b'!SD_Z1</vt:lpstr>
      <vt:lpstr>'7L3a'!SD_ZinstCPC</vt:lpstr>
      <vt:lpstr>'7L3b'!SD_ZinstCPC</vt:lpstr>
      <vt:lpstr>'7L3a'!SD_ZinstPH</vt:lpstr>
      <vt:lpstr>'7L3b'!SD_ZinstPH</vt:lpstr>
      <vt:lpstr>Service</vt:lpstr>
      <vt:lpstr>Source_Nominal_V</vt:lpstr>
      <vt:lpstr>'7L3a'!V_Source</vt:lpstr>
      <vt:lpstr>'7L3b'!V_Source</vt:lpstr>
      <vt:lpstr>VD_L1</vt:lpstr>
      <vt:lpstr>VD_L2</vt:lpstr>
      <vt:lpstr>VD_L3</vt:lpstr>
      <vt:lpstr>'7L3a'!VD_Source</vt:lpstr>
      <vt:lpstr>'7L3b'!VD_Source</vt:lpstr>
      <vt:lpstr>VDV_L1</vt:lpstr>
      <vt:lpstr>VDV_L2</vt:lpstr>
      <vt:lpstr>VDV_L3</vt:lpstr>
      <vt:lpstr>'7L3a'!Ze</vt:lpstr>
      <vt:lpstr>'7L3b'!Ze</vt:lpstr>
      <vt:lpstr>'7L3a'!Zinst_PHASE</vt:lpstr>
      <vt:lpstr>'7L3b'!Zinst_PHASE</vt:lpstr>
      <vt:lpstr>'7L3a'!Zs</vt:lpstr>
      <vt:lpstr>'7L3b'!Zs</vt:lpstr>
      <vt:lpstr>Zs_DB</vt:lpstr>
    </vt:vector>
  </TitlesOfParts>
  <Company>The ARK Electrical Design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NAHolmes</dc:creator>
  <cp:lastModifiedBy>Neil Holmes</cp:lastModifiedBy>
  <cp:lastPrinted>2010-06-29T10:18:14Z</cp:lastPrinted>
  <dcterms:created xsi:type="dcterms:W3CDTF">2007-12-25T22:22:52Z</dcterms:created>
  <dcterms:modified xsi:type="dcterms:W3CDTF">2012-04-04T18:49:54Z</dcterms:modified>
</cp:coreProperties>
</file>