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8785" yWindow="165" windowWidth="27870" windowHeight="13125" tabRatio="982" activeTab="3"/>
  </bookViews>
  <sheets>
    <sheet name="Index" sheetId="7" r:id="rId1"/>
    <sheet name="Luminaire Schedule" sheetId="38" r:id="rId2"/>
    <sheet name="14L1" sheetId="56" r:id="rId3"/>
    <sheet name="14L2" sheetId="59" r:id="rId4"/>
    <sheet name="14L3" sheetId="58" r:id="rId5"/>
    <sheet name="7L3b" sheetId="57" r:id="rId6"/>
  </sheets>
  <definedNames>
    <definedName name="Area_Zone_Level">Index!$C$7</definedName>
    <definedName name="ccts_extender" localSheetId="2">'14L1'!$J$30</definedName>
    <definedName name="ccts_extender" localSheetId="3">'14L2'!$J$30</definedName>
    <definedName name="ccts_extender" localSheetId="4">'14L3'!$J$30</definedName>
    <definedName name="ccts_extender" localSheetId="5">'7L3b'!$J$30</definedName>
    <definedName name="ccts_mdb" localSheetId="2">'14L1'!$J$15</definedName>
    <definedName name="ccts_mdb" localSheetId="3">'14L2'!$J$15</definedName>
    <definedName name="ccts_mdb" localSheetId="4">'14L3'!$J$15</definedName>
    <definedName name="ccts_mdb" localSheetId="5">'7L3b'!$J$15</definedName>
    <definedName name="ccts_SD" localSheetId="2">'14L1'!$J$48</definedName>
    <definedName name="ccts_SD" localSheetId="3">'14L2'!$J$48</definedName>
    <definedName name="ccts_SD" localSheetId="4">'14L3'!$J$48</definedName>
    <definedName name="ccts_SD" localSheetId="5">'7L3b'!$J$48</definedName>
    <definedName name="Cg_2" localSheetId="2">'14L1'!$AI$28</definedName>
    <definedName name="Cg_2" localSheetId="3">'14L2'!$AI$28</definedName>
    <definedName name="Cg_2" localSheetId="4">'14L3'!$AI$28</definedName>
    <definedName name="Cg_2" localSheetId="5">'7L3b'!$AI$28</definedName>
    <definedName name="Combo_1" localSheetId="2">'14L1'!$AI$20</definedName>
    <definedName name="Combo_1" localSheetId="3">'14L2'!$AI$20</definedName>
    <definedName name="Combo_1" localSheetId="4">'14L3'!$AI$20</definedName>
    <definedName name="Combo_1" localSheetId="5">'7L3b'!$AI$20</definedName>
    <definedName name="CPD" localSheetId="2">'14L1'!$AP$37</definedName>
    <definedName name="CPD" localSheetId="3">'14L2'!$AP$37</definedName>
    <definedName name="CPD" localSheetId="4">'14L3'!$AP$37</definedName>
    <definedName name="CPD" localSheetId="5">'7L3b'!$AP$37</definedName>
    <definedName name="cpd_type" localSheetId="2">'14L1'!$D$30</definedName>
    <definedName name="cpd_type" localSheetId="3">'14L2'!$D$30</definedName>
    <definedName name="cpd_type" localSheetId="4">'14L3'!$D$30</definedName>
    <definedName name="cpd_type" localSheetId="5">'7L3b'!$D$30</definedName>
    <definedName name="Date">Index!$H$5</definedName>
    <definedName name="DB_Ref">Index!$C$15</definedName>
    <definedName name="Disconnection_Time" localSheetId="2">'14L1'!$D$25</definedName>
    <definedName name="Disconnection_Time" localSheetId="3">'14L2'!$D$25</definedName>
    <definedName name="Disconnection_Time" localSheetId="4">'14L3'!$D$25</definedName>
    <definedName name="Disconnection_Time" localSheetId="5">'7L3b'!$D$25</definedName>
    <definedName name="Drawing_No">Index!$C$8</definedName>
    <definedName name="extender_Cg" localSheetId="2">'14L1'!$AJ$27</definedName>
    <definedName name="extender_Cg" localSheetId="3">'14L2'!$AJ$27</definedName>
    <definedName name="extender_Cg" localSheetId="4">'14L3'!$AJ$27</definedName>
    <definedName name="extender_Cg" localSheetId="5">'7L3b'!$AJ$27</definedName>
    <definedName name="extender_CPD_R_Factor" localSheetId="2">'14L1'!$AJ$15</definedName>
    <definedName name="extender_CPD_R_Factor" localSheetId="3">'14L2'!$AJ$15</definedName>
    <definedName name="extender_CPD_R_Factor" localSheetId="4">'14L3'!$AJ$15</definedName>
    <definedName name="extender_CPD_R_Factor" localSheetId="5">'7L3b'!$AJ$15</definedName>
    <definedName name="extender_csa" localSheetId="2">'14L1'!$J$31</definedName>
    <definedName name="extender_csa" localSheetId="3">'14L2'!$J$31</definedName>
    <definedName name="extender_csa" localSheetId="4">'14L3'!$J$31</definedName>
    <definedName name="extender_csa" localSheetId="5">'7L3b'!$J$31</definedName>
    <definedName name="extender_i_limit" localSheetId="2">'14L1'!$AJ$23</definedName>
    <definedName name="extender_i_limit" localSheetId="3">'14L2'!$AJ$23</definedName>
    <definedName name="extender_i_limit" localSheetId="4">'14L3'!$AJ$23</definedName>
    <definedName name="extender_i_limit" localSheetId="5">'7L3b'!$AJ$23</definedName>
    <definedName name="extender_ins" localSheetId="2">'14L1'!$J$32</definedName>
    <definedName name="extender_ins" localSheetId="3">'14L2'!$J$32</definedName>
    <definedName name="extender_ins" localSheetId="4">'14L3'!$J$32</definedName>
    <definedName name="extender_ins" localSheetId="5">'7L3b'!$J$32</definedName>
    <definedName name="extender_It" localSheetId="2">'14L1'!$J$34</definedName>
    <definedName name="extender_It" localSheetId="3">'14L2'!$J$34</definedName>
    <definedName name="extender_It" localSheetId="4">'14L3'!$J$34</definedName>
    <definedName name="extender_It" localSheetId="5">'7L3b'!$J$34</definedName>
    <definedName name="extender_It1" localSheetId="2">'14L1'!$AJ$6</definedName>
    <definedName name="extender_It1" localSheetId="3">'14L2'!$AJ$6</definedName>
    <definedName name="extender_It1" localSheetId="4">'14L3'!$AJ$6</definedName>
    <definedName name="extender_It1" localSheetId="5">'7L3b'!$AJ$6</definedName>
    <definedName name="extender_It2" localSheetId="2">'14L1'!$AJ$7</definedName>
    <definedName name="extender_It2" localSheetId="3">'14L2'!$AJ$7</definedName>
    <definedName name="extender_It2" localSheetId="4">'14L3'!$AJ$7</definedName>
    <definedName name="extender_It2" localSheetId="5">'7L3b'!$AJ$7</definedName>
    <definedName name="extender_PELI" localSheetId="2">'14L1'!$J$37</definedName>
    <definedName name="extender_PELI" localSheetId="3">'14L2'!$J$37</definedName>
    <definedName name="extender_PELI" localSheetId="4">'14L3'!$J$37</definedName>
    <definedName name="extender_PELI" localSheetId="5">'7L3b'!$J$37</definedName>
    <definedName name="extender_R20cPHA" localSheetId="2">'14L1'!$J$36</definedName>
    <definedName name="extender_R20cPHA" localSheetId="3">'14L2'!$J$36</definedName>
    <definedName name="extender_R20cPHA" localSheetId="4">'14L3'!$J$36</definedName>
    <definedName name="extender_R20cPHA" localSheetId="5">'7L3b'!$J$36</definedName>
    <definedName name="extender_tp" localSheetId="2">'14L1'!$AJ$22</definedName>
    <definedName name="extender_tp" localSheetId="3">'14L2'!$AJ$22</definedName>
    <definedName name="extender_tp" localSheetId="4">'14L3'!$AJ$22</definedName>
    <definedName name="extender_tp" localSheetId="5">'7L3b'!$AJ$22</definedName>
    <definedName name="extender_Vd" localSheetId="2">'14L1'!$J$35</definedName>
    <definedName name="extender_Vd" localSheetId="3">'14L2'!$J$35</definedName>
    <definedName name="extender_Vd" localSheetId="4">'14L3'!$J$35</definedName>
    <definedName name="extender_Vd" localSheetId="5">'7L3b'!$J$35</definedName>
    <definedName name="extender_Vd1" localSheetId="2">'14L1'!$AJ$8</definedName>
    <definedName name="extender_Vd1" localSheetId="3">'14L2'!$AJ$8</definedName>
    <definedName name="extender_Vd1" localSheetId="4">'14L3'!$AJ$8</definedName>
    <definedName name="extender_Vd1" localSheetId="5">'7L3b'!$AJ$8</definedName>
    <definedName name="extender_Vd2" localSheetId="2">'14L1'!$AJ$9</definedName>
    <definedName name="extender_Vd2" localSheetId="3">'14L2'!$AJ$9</definedName>
    <definedName name="extender_Vd2" localSheetId="4">'14L3'!$AJ$9</definedName>
    <definedName name="extender_Vd2" localSheetId="5">'7L3b'!$AJ$9</definedName>
    <definedName name="extender_Z1" localSheetId="2">'14L1'!$AJ$10</definedName>
    <definedName name="extender_Z1" localSheetId="3">'14L2'!$AJ$10</definedName>
    <definedName name="extender_Z1" localSheetId="4">'14L3'!$AJ$10</definedName>
    <definedName name="extender_Z1" localSheetId="5">'7L3b'!$AJ$10</definedName>
    <definedName name="extender_Z2" localSheetId="2">'14L1'!$AJ$11</definedName>
    <definedName name="extender_Z2" localSheetId="3">'14L2'!$AJ$11</definedName>
    <definedName name="extender_Z2" localSheetId="4">'14L3'!$AJ$11</definedName>
    <definedName name="extender_Z2" localSheetId="5">'7L3b'!$AJ$11</definedName>
    <definedName name="Extender_ZinstCPC" localSheetId="2">'14L1'!$AJ$13</definedName>
    <definedName name="Extender_ZinstCPC" localSheetId="3">'14L2'!$AJ$13</definedName>
    <definedName name="Extender_ZinstCPC" localSheetId="4">'14L3'!$AJ$13</definedName>
    <definedName name="Extender_ZinstCPC" localSheetId="5">'7L3b'!$AJ$13</definedName>
    <definedName name="Extender_ZinstPH" localSheetId="2">'14L1'!$AJ$12</definedName>
    <definedName name="Extender_ZinstPH" localSheetId="3">'14L2'!$AJ$12</definedName>
    <definedName name="Extender_ZinstPH" localSheetId="4">'14L3'!$AJ$12</definedName>
    <definedName name="Extender_ZinstPH" localSheetId="5">'7L3b'!$AJ$12</definedName>
    <definedName name="Homerun_Cg" localSheetId="2">'14L1'!$AI$27</definedName>
    <definedName name="Homerun_Cg" localSheetId="3">'14L2'!$AI$27</definedName>
    <definedName name="Homerun_Cg" localSheetId="4">'14L3'!$AI$27</definedName>
    <definedName name="Homerun_Cg" localSheetId="5">'7L3b'!$AI$27</definedName>
    <definedName name="homerun_csa" localSheetId="2">'14L1'!$J$16</definedName>
    <definedName name="homerun_csa" localSheetId="3">'14L2'!$J$16</definedName>
    <definedName name="homerun_csa" localSheetId="4">'14L3'!$J$16</definedName>
    <definedName name="homerun_csa" localSheetId="5">'7L3b'!$J$16</definedName>
    <definedName name="homerun_i_limit" localSheetId="2">'14L1'!$AI$23</definedName>
    <definedName name="homerun_i_limit" localSheetId="3">'14L2'!$AI$23</definedName>
    <definedName name="homerun_i_limit" localSheetId="4">'14L3'!$AI$23</definedName>
    <definedName name="homerun_i_limit" localSheetId="5">'7L3b'!$AI$23</definedName>
    <definedName name="homerun_ins" localSheetId="2">'14L1'!$J$17</definedName>
    <definedName name="homerun_ins" localSheetId="3">'14L2'!$J$17</definedName>
    <definedName name="homerun_ins" localSheetId="4">'14L3'!$J$17</definedName>
    <definedName name="homerun_ins" localSheetId="5">'7L3b'!$J$17</definedName>
    <definedName name="homerun_It" localSheetId="2">'14L1'!$J$19</definedName>
    <definedName name="homerun_It" localSheetId="3">'14L2'!$J$19</definedName>
    <definedName name="homerun_It" localSheetId="4">'14L3'!$J$19</definedName>
    <definedName name="homerun_It" localSheetId="5">'7L3b'!$J$19</definedName>
    <definedName name="homerun_It1" localSheetId="2">'14L1'!$AI$6</definedName>
    <definedName name="homerun_It1" localSheetId="3">'14L2'!$AI$6</definedName>
    <definedName name="homerun_It1" localSheetId="4">'14L3'!$AI$6</definedName>
    <definedName name="homerun_It1" localSheetId="5">'7L3b'!$AI$6</definedName>
    <definedName name="homerun_It2" localSheetId="2">'14L1'!$AI$7</definedName>
    <definedName name="homerun_It2" localSheetId="3">'14L2'!$AI$7</definedName>
    <definedName name="homerun_It2" localSheetId="4">'14L3'!$AI$7</definedName>
    <definedName name="homerun_It2" localSheetId="5">'7L3b'!$AI$7</definedName>
    <definedName name="homerun_PELI" localSheetId="2">'14L1'!$J$22</definedName>
    <definedName name="homerun_PELI" localSheetId="3">'14L2'!$J$22</definedName>
    <definedName name="homerun_PELI" localSheetId="4">'14L3'!$J$22</definedName>
    <definedName name="homerun_PELI" localSheetId="5">'7L3b'!$J$22</definedName>
    <definedName name="homerun_R20c" localSheetId="2">'14L1'!$J$21</definedName>
    <definedName name="homerun_R20c" localSheetId="3">'14L2'!$J$21</definedName>
    <definedName name="homerun_R20c" localSheetId="4">'14L3'!$J$21</definedName>
    <definedName name="homerun_R20c" localSheetId="5">'7L3b'!$J$21</definedName>
    <definedName name="homerun_tp" localSheetId="2">'14L1'!$AI$22</definedName>
    <definedName name="homerun_tp" localSheetId="3">'14L2'!$AI$22</definedName>
    <definedName name="homerun_tp" localSheetId="4">'14L3'!$AI$22</definedName>
    <definedName name="homerun_tp" localSheetId="5">'7L3b'!$AI$22</definedName>
    <definedName name="homerun_Vd" localSheetId="2">'14L1'!$J$20</definedName>
    <definedName name="homerun_Vd" localSheetId="3">'14L2'!$J$20</definedName>
    <definedName name="homerun_Vd" localSheetId="4">'14L3'!$J$20</definedName>
    <definedName name="homerun_Vd" localSheetId="5">'7L3b'!$J$20</definedName>
    <definedName name="homerun_Vd1" localSheetId="2">'14L1'!$AI$8</definedName>
    <definedName name="homerun_Vd1" localSheetId="3">'14L2'!$AI$8</definedName>
    <definedName name="homerun_Vd1" localSheetId="4">'14L3'!$AI$8</definedName>
    <definedName name="homerun_Vd1" localSheetId="5">'7L3b'!$AI$8</definedName>
    <definedName name="homerun_Vd2" localSheetId="2">'14L1'!$AI$9</definedName>
    <definedName name="homerun_Vd2" localSheetId="3">'14L2'!$AI$9</definedName>
    <definedName name="homerun_Vd2" localSheetId="4">'14L3'!$AI$9</definedName>
    <definedName name="homerun_Vd2" localSheetId="5">'7L3b'!$AI$9</definedName>
    <definedName name="homerun_Z1" localSheetId="2">'14L1'!$AI$10</definedName>
    <definedName name="homerun_Z1" localSheetId="3">'14L2'!$AI$10</definedName>
    <definedName name="homerun_Z1" localSheetId="4">'14L3'!$AI$10</definedName>
    <definedName name="homerun_Z1" localSheetId="5">'7L3b'!$AI$10</definedName>
    <definedName name="homerun_Z2" localSheetId="2">'14L1'!$AI$11</definedName>
    <definedName name="homerun_Z2" localSheetId="3">'14L2'!$AI$11</definedName>
    <definedName name="homerun_Z2" localSheetId="4">'14L3'!$AI$11</definedName>
    <definedName name="homerun_Z2" localSheetId="5">'7L3b'!$AI$11</definedName>
    <definedName name="Homerun_ZinstCPC" localSheetId="2">'14L1'!$AI$13</definedName>
    <definedName name="Homerun_ZinstCPC" localSheetId="3">'14L2'!$AI$13</definedName>
    <definedName name="Homerun_ZinstCPC" localSheetId="4">'14L3'!$AI$13</definedName>
    <definedName name="Homerun_ZinstCPC" localSheetId="5">'7L3b'!$AI$13</definedName>
    <definedName name="Homerun_ZinstPH" localSheetId="2">'14L1'!$AI$12</definedName>
    <definedName name="Homerun_ZinstPH" localSheetId="3">'14L2'!$AI$12</definedName>
    <definedName name="Homerun_ZinstPH" localSheetId="4">'14L3'!$AI$12</definedName>
    <definedName name="Homerun_ZinstPH" localSheetId="5">'7L3b'!$AI$12</definedName>
    <definedName name="In" localSheetId="2">'14L1'!$D$29</definedName>
    <definedName name="In" localSheetId="3">'14L2'!$D$29</definedName>
    <definedName name="In" localSheetId="4">'14L3'!$D$29</definedName>
    <definedName name="In" localSheetId="5">'7L3b'!$D$29</definedName>
    <definedName name="Ipsc" localSheetId="2">'14L1'!$D$17</definedName>
    <definedName name="Ipsc" localSheetId="3">'14L2'!$D$17</definedName>
    <definedName name="Ipsc" localSheetId="4">'14L3'!$D$17</definedName>
    <definedName name="Ipsc" localSheetId="5">'7L3b'!$D$17</definedName>
    <definedName name="Ipsc_Max_DB">Index!$C$18</definedName>
    <definedName name="Lum_A">'Luminaire Schedule'!$D$12</definedName>
    <definedName name="Lum_B">'Luminaire Schedule'!$D$13</definedName>
    <definedName name="Lum_C">'Luminaire Schedule'!$D$14</definedName>
    <definedName name="Lum_C2">'Luminaire Schedule'!$D$15</definedName>
    <definedName name="Lum_C3">'Luminaire Schedule'!$D$16</definedName>
    <definedName name="Lum_D">'Luminaire Schedule'!$D$17</definedName>
    <definedName name="Lum_EM">'Luminaire Schedule'!$D$18</definedName>
    <definedName name="Lum_EX">'Luminaire Schedule'!$D$19</definedName>
    <definedName name="Lum_EX2">'Luminaire Schedule'!$H$22</definedName>
    <definedName name="Lum_F">'Luminaire Schedule'!$D$20</definedName>
    <definedName name="Lum_G">'Luminaire Schedule'!$D$21</definedName>
    <definedName name="Lum_H1">'Luminaire Schedule'!$D$22</definedName>
    <definedName name="Lum_H2">'Luminaire Schedule'!$D$23</definedName>
    <definedName name="Lum_J">'Luminaire Schedule'!$D$24</definedName>
    <definedName name="Lum_K">'Luminaire Schedule'!$D$25</definedName>
    <definedName name="Lum_L">'Luminaire Schedule'!$D$26</definedName>
    <definedName name="Lum_M">'Luminaire Schedule'!$D$27</definedName>
    <definedName name="Lum_M2">'Luminaire Schedule'!$D$28</definedName>
    <definedName name="Lum_N">'Luminaire Schedule'!$D$29</definedName>
    <definedName name="Lum_P">'Luminaire Schedule'!$D$30</definedName>
    <definedName name="Lum_P1">'Luminaire Schedule'!$D$31</definedName>
    <definedName name="Lum_Q">'Luminaire Schedule'!$D$32</definedName>
    <definedName name="Lum_Q2">'Luminaire Schedule'!$D$33</definedName>
    <definedName name="Lum_R">'Luminaire Schedule'!$D$34</definedName>
    <definedName name="Lum_S">'Luminaire Schedule'!$D$35</definedName>
    <definedName name="Lum_T">'Luminaire Schedule'!$H$12</definedName>
    <definedName name="Lum_U">'Luminaire Schedule'!$H$13</definedName>
    <definedName name="Lum_V">'Luminaire Schedule'!$H$14</definedName>
    <definedName name="Lum_W">'Luminaire Schedule'!$H$15</definedName>
    <definedName name="Lum_W1">'Luminaire Schedule'!$H$16</definedName>
    <definedName name="Lum_W2">'Luminaire Schedule'!$H$17</definedName>
    <definedName name="Lum_W3">'Luminaire Schedule'!$H$18</definedName>
    <definedName name="Lum_Y">'Luminaire Schedule'!$H$19</definedName>
    <definedName name="Lum_Y2">'Luminaire Schedule'!$H$20</definedName>
    <definedName name="Max_CPD1" localSheetId="2">'14L1'!$AI$43</definedName>
    <definedName name="Max_CPD1" localSheetId="3">'14L2'!$AI$43</definedName>
    <definedName name="Max_CPD1" localSheetId="4">'14L3'!$AI$43</definedName>
    <definedName name="Max_CPD1" localSheetId="5">'7L3b'!$AI$43</definedName>
    <definedName name="Max_CPD2" localSheetId="2">'14L1'!$AI$44</definedName>
    <definedName name="Max_CPD2" localSheetId="3">'14L2'!$AI$44</definedName>
    <definedName name="Max_CPD2" localSheetId="4">'14L3'!$AI$44</definedName>
    <definedName name="Max_CPD2" localSheetId="5">'7L3b'!$AI$44</definedName>
    <definedName name="Max_VD" localSheetId="2">'14L1'!$D$24</definedName>
    <definedName name="Max_VD" localSheetId="3">'14L2'!$D$24</definedName>
    <definedName name="Max_VD" localSheetId="4">'14L3'!$D$24</definedName>
    <definedName name="Max_VD" localSheetId="5">'7L3b'!$D$24</definedName>
    <definedName name="Max_VD_percent">Index!$C$12</definedName>
    <definedName name="mdb_Cg" localSheetId="2">'14L1'!$AI$25</definedName>
    <definedName name="mdb_Cg" localSheetId="3">'14L2'!$AI$25</definedName>
    <definedName name="mdb_Cg" localSheetId="4">'14L3'!$AI$25</definedName>
    <definedName name="mdb_Cg" localSheetId="5">'7L3b'!$AI$25</definedName>
    <definedName name="mdb_CPD_R_Factor" localSheetId="2">'14L1'!$AI$15</definedName>
    <definedName name="mdb_CPD_R_Factor" localSheetId="3">'14L2'!$AI$15</definedName>
    <definedName name="mdb_CPD_R_Factor" localSheetId="4">'14L3'!$AI$15</definedName>
    <definedName name="mdb_CPD_R_Factor" localSheetId="5">'7L3b'!$AI$15</definedName>
    <definedName name="nominal_V" localSheetId="2">'14L1'!$D$22</definedName>
    <definedName name="nominal_V" localSheetId="3">'14L2'!$D$22</definedName>
    <definedName name="nominal_V" localSheetId="4">'14L3'!$D$22</definedName>
    <definedName name="nominal_V" localSheetId="5">'7L3b'!$D$22</definedName>
    <definedName name="Prep_By">Index!$H$6</definedName>
    <definedName name="_xlnm.Print_Area" localSheetId="2">'14L1'!$A$1:$V$62</definedName>
    <definedName name="_xlnm.Print_Area" localSheetId="3">'14L2'!$A$1:$V$62</definedName>
    <definedName name="_xlnm.Print_Area" localSheetId="4">'14L3'!$A$1:$V$62</definedName>
    <definedName name="_xlnm.Print_Area" localSheetId="5">'7L3b'!$A$1:$V$62</definedName>
    <definedName name="_xlnm.Print_Area" localSheetId="0">Index!$A$1:$H$38</definedName>
    <definedName name="_xlnm.Print_Titles" localSheetId="2">'14L1'!$1:$13</definedName>
    <definedName name="_xlnm.Print_Titles" localSheetId="3">'14L2'!$1:$13</definedName>
    <definedName name="_xlnm.Print_Titles" localSheetId="4">'14L3'!$1:$13</definedName>
    <definedName name="_xlnm.Print_Titles" localSheetId="5">'7L3b'!$1:$13</definedName>
    <definedName name="_xlnm.Print_Titles" localSheetId="0">Index!$1:$9</definedName>
    <definedName name="Project_Name">Index!$C$5</definedName>
    <definedName name="Project_No">Index!$C$6</definedName>
    <definedName name="SD_Cg" localSheetId="2">'14L1'!$AK$27</definedName>
    <definedName name="SD_Cg" localSheetId="3">'14L2'!$AK$27</definedName>
    <definedName name="SD_Cg" localSheetId="4">'14L3'!$AK$27</definedName>
    <definedName name="SD_Cg" localSheetId="5">'7L3b'!$AK$27</definedName>
    <definedName name="SD_CPD_R_Factor" localSheetId="2">'14L1'!$AK$15</definedName>
    <definedName name="SD_CPD_R_Factor" localSheetId="3">'14L2'!$AK$15</definedName>
    <definedName name="SD_CPD_R_Factor" localSheetId="4">'14L3'!$AK$15</definedName>
    <definedName name="SD_CPD_R_Factor" localSheetId="5">'7L3b'!$AK$15</definedName>
    <definedName name="SD_csa" localSheetId="2">'14L1'!$J$49</definedName>
    <definedName name="SD_csa" localSheetId="3">'14L2'!$J$49</definedName>
    <definedName name="SD_csa" localSheetId="4">'14L3'!$J$49</definedName>
    <definedName name="SD_csa" localSheetId="5">'7L3b'!$J$49</definedName>
    <definedName name="SD_i_limit" localSheetId="2">'14L1'!$AK$23</definedName>
    <definedName name="SD_i_limit" localSheetId="3">'14L2'!$AK$23</definedName>
    <definedName name="SD_i_limit" localSheetId="4">'14L3'!$AK$23</definedName>
    <definedName name="SD_i_limit" localSheetId="5">'7L3b'!$AK$23</definedName>
    <definedName name="SD_ins" localSheetId="2">'14L1'!$J$50</definedName>
    <definedName name="SD_ins" localSheetId="3">'14L2'!$J$50</definedName>
    <definedName name="SD_ins" localSheetId="4">'14L3'!$J$50</definedName>
    <definedName name="SD_ins" localSheetId="5">'7L3b'!$J$50</definedName>
    <definedName name="SD_It" localSheetId="2">'14L1'!$J$52</definedName>
    <definedName name="SD_It" localSheetId="3">'14L2'!$J$52</definedName>
    <definedName name="SD_It" localSheetId="4">'14L3'!$J$52</definedName>
    <definedName name="SD_It" localSheetId="5">'7L3b'!$J$52</definedName>
    <definedName name="SD_It1" localSheetId="2">'14L1'!$AK$6</definedName>
    <definedName name="SD_It1" localSheetId="3">'14L2'!$AK$6</definedName>
    <definedName name="SD_It1" localSheetId="4">'14L3'!$AK$6</definedName>
    <definedName name="SD_It1" localSheetId="5">'7L3b'!$AK$6</definedName>
    <definedName name="SD_PELI" localSheetId="2">'14L1'!$J$55</definedName>
    <definedName name="SD_PELI" localSheetId="3">'14L2'!$J$55</definedName>
    <definedName name="SD_PELI" localSheetId="4">'14L3'!$J$55</definedName>
    <definedName name="SD_PELI" localSheetId="5">'7L3b'!$J$55</definedName>
    <definedName name="SD_R20c" localSheetId="2">'14L1'!$J$54</definedName>
    <definedName name="SD_R20c" localSheetId="3">'14L2'!$J$54</definedName>
    <definedName name="SD_R20c" localSheetId="4">'14L3'!$J$54</definedName>
    <definedName name="SD_R20c" localSheetId="5">'7L3b'!$J$54</definedName>
    <definedName name="SD_tp" localSheetId="2">'14L1'!$AK$22</definedName>
    <definedName name="SD_tp" localSheetId="3">'14L2'!$AK$22</definedName>
    <definedName name="SD_tp" localSheetId="4">'14L3'!$AK$22</definedName>
    <definedName name="SD_tp" localSheetId="5">'7L3b'!$AK$22</definedName>
    <definedName name="SD_Vd" localSheetId="2">'14L1'!$J$53</definedName>
    <definedName name="SD_Vd" localSheetId="3">'14L2'!$J$53</definedName>
    <definedName name="SD_Vd" localSheetId="4">'14L3'!$J$53</definedName>
    <definedName name="SD_Vd" localSheetId="5">'7L3b'!$J$53</definedName>
    <definedName name="SD_Vd1" localSheetId="2">'14L1'!$AK$8</definedName>
    <definedName name="SD_Vd1" localSheetId="3">'14L2'!$AK$8</definedName>
    <definedName name="SD_Vd1" localSheetId="4">'14L3'!$AK$8</definedName>
    <definedName name="SD_Vd1" localSheetId="5">'7L3b'!$AK$8</definedName>
    <definedName name="SD_Z1" localSheetId="2">'14L1'!$AK$10</definedName>
    <definedName name="SD_Z1" localSheetId="3">'14L2'!$AK$10</definedName>
    <definedName name="SD_Z1" localSheetId="4">'14L3'!$AK$10</definedName>
    <definedName name="SD_Z1" localSheetId="5">'7L3b'!$AK$10</definedName>
    <definedName name="SD_ZinstCPC" localSheetId="2">'14L1'!$AK$13</definedName>
    <definedName name="SD_ZinstCPC" localSheetId="3">'14L2'!$AK$13</definedName>
    <definedName name="SD_ZinstCPC" localSheetId="4">'14L3'!$AK$13</definedName>
    <definedName name="SD_ZinstCPC" localSheetId="5">'7L3b'!$AK$13</definedName>
    <definedName name="SD_ZinstPH" localSheetId="2">'14L1'!$AK$12</definedName>
    <definedName name="SD_ZinstPH" localSheetId="3">'14L2'!$AK$12</definedName>
    <definedName name="SD_ZinstPH" localSheetId="4">'14L3'!$AK$12</definedName>
    <definedName name="SD_ZinstPH" localSheetId="5">'7L3b'!$AK$12</definedName>
    <definedName name="Service">Index!$C$9</definedName>
    <definedName name="Source_Nominal_V">Index!$C$11</definedName>
    <definedName name="V_Source" localSheetId="2">'14L1'!$D$16</definedName>
    <definedName name="V_Source" localSheetId="3">'14L2'!$D$16</definedName>
    <definedName name="V_Source" localSheetId="4">'14L3'!$D$16</definedName>
    <definedName name="V_Source" localSheetId="5">'7L3b'!$D$16</definedName>
    <definedName name="VD_L1">Index!$D$16</definedName>
    <definedName name="VD_L2">Index!$E$16</definedName>
    <definedName name="VD_L3">Index!$F$16</definedName>
    <definedName name="VD_Source" localSheetId="2">'14L1'!$D$15</definedName>
    <definedName name="VD_Source" localSheetId="3">'14L2'!$D$15</definedName>
    <definedName name="VD_Source" localSheetId="4">'14L3'!$D$15</definedName>
    <definedName name="VD_Source" localSheetId="5">'7L3b'!$D$15</definedName>
    <definedName name="VDV_L1">Index!$D$17</definedName>
    <definedName name="VDV_L2">Index!$E$17</definedName>
    <definedName name="VDV_L3">Index!$F$17</definedName>
    <definedName name="Ze" localSheetId="2">'14L1'!$D$18</definedName>
    <definedName name="Ze" localSheetId="3">'14L2'!$D$18</definedName>
    <definedName name="Ze" localSheetId="4">'14L3'!$D$18</definedName>
    <definedName name="Ze" localSheetId="5">'7L3b'!$D$18</definedName>
    <definedName name="Zinst_PHASE" localSheetId="2">'14L1'!$AJ$20</definedName>
    <definedName name="Zinst_PHASE" localSheetId="3">'14L2'!$AJ$20</definedName>
    <definedName name="Zinst_PHASE" localSheetId="4">'14L3'!$AJ$20</definedName>
    <definedName name="Zinst_PHASE" localSheetId="5">'7L3b'!$AJ$20</definedName>
    <definedName name="Zs" localSheetId="2">'14L1'!$AI$34</definedName>
    <definedName name="Zs" localSheetId="3">'14L2'!$AI$34</definedName>
    <definedName name="Zs" localSheetId="4">'14L3'!$AI$34</definedName>
    <definedName name="Zs" localSheetId="5">'7L3b'!$AI$34</definedName>
    <definedName name="Zs_DB">Index!$C$20</definedName>
  </definedNames>
  <calcPr calcId="125725"/>
</workbook>
</file>

<file path=xl/calcChain.xml><?xml version="1.0" encoding="utf-8"?>
<calcChain xmlns="http://schemas.openxmlformats.org/spreadsheetml/2006/main">
  <c r="O26" i="59"/>
  <c r="O28" i="58"/>
  <c r="O22" i="59"/>
  <c r="D57"/>
  <c r="J49"/>
  <c r="Z45"/>
  <c r="Y45"/>
  <c r="X45"/>
  <c r="U45"/>
  <c r="T45"/>
  <c r="R45"/>
  <c r="Q45"/>
  <c r="P45"/>
  <c r="P44" s="1"/>
  <c r="P43" s="1"/>
  <c r="P42" s="1"/>
  <c r="P41" s="1"/>
  <c r="P40" s="1"/>
  <c r="P39" s="1"/>
  <c r="P38" s="1"/>
  <c r="P37" s="1"/>
  <c r="P36" s="1"/>
  <c r="P35" s="1"/>
  <c r="P34" s="1"/>
  <c r="P33" s="1"/>
  <c r="P32" s="1"/>
  <c r="P31" s="1"/>
  <c r="P30" s="1"/>
  <c r="P29" s="1"/>
  <c r="P28" s="1"/>
  <c r="P27" s="1"/>
  <c r="Z44"/>
  <c r="Y44"/>
  <c r="X44"/>
  <c r="U44"/>
  <c r="T44"/>
  <c r="R44"/>
  <c r="Q44"/>
  <c r="Z43"/>
  <c r="Y43"/>
  <c r="X43"/>
  <c r="U43"/>
  <c r="T43"/>
  <c r="R43"/>
  <c r="Q43"/>
  <c r="Z42"/>
  <c r="Y42"/>
  <c r="X42"/>
  <c r="U42"/>
  <c r="T42"/>
  <c r="R42"/>
  <c r="Q42"/>
  <c r="J42"/>
  <c r="Z41"/>
  <c r="Y41"/>
  <c r="X41"/>
  <c r="U41"/>
  <c r="T41"/>
  <c r="R41"/>
  <c r="Q41"/>
  <c r="Z40"/>
  <c r="Y40"/>
  <c r="X40"/>
  <c r="U40"/>
  <c r="T40"/>
  <c r="R40"/>
  <c r="S40" s="1"/>
  <c r="Q40"/>
  <c r="Z39"/>
  <c r="Y39"/>
  <c r="X39"/>
  <c r="U39"/>
  <c r="T39"/>
  <c r="R39"/>
  <c r="Q39"/>
  <c r="B39"/>
  <c r="Z38"/>
  <c r="Y38"/>
  <c r="X38"/>
  <c r="U38"/>
  <c r="T38"/>
  <c r="R38"/>
  <c r="Q38"/>
  <c r="BE37"/>
  <c r="AP37"/>
  <c r="AI31" s="1"/>
  <c r="Z37"/>
  <c r="Y37"/>
  <c r="X37"/>
  <c r="U37"/>
  <c r="T37"/>
  <c r="R37"/>
  <c r="Q37"/>
  <c r="Z36"/>
  <c r="Y36"/>
  <c r="X36"/>
  <c r="U36"/>
  <c r="T36"/>
  <c r="R36"/>
  <c r="Q36"/>
  <c r="J36"/>
  <c r="Z35"/>
  <c r="Y35"/>
  <c r="X35"/>
  <c r="U35"/>
  <c r="T35"/>
  <c r="R35"/>
  <c r="Q35"/>
  <c r="BN34"/>
  <c r="BM34"/>
  <c r="BL34"/>
  <c r="BK34"/>
  <c r="BJ34"/>
  <c r="BI34"/>
  <c r="BH34"/>
  <c r="BG34"/>
  <c r="BF34"/>
  <c r="BF35" s="1"/>
  <c r="AY34"/>
  <c r="AX34"/>
  <c r="AW34"/>
  <c r="AV34"/>
  <c r="AU34"/>
  <c r="AT34"/>
  <c r="AS34"/>
  <c r="AR34"/>
  <c r="AQ34"/>
  <c r="Z34"/>
  <c r="Y34"/>
  <c r="X34"/>
  <c r="U34"/>
  <c r="T34"/>
  <c r="R34"/>
  <c r="Q34"/>
  <c r="BN33"/>
  <c r="BM33"/>
  <c r="BL33"/>
  <c r="BK33"/>
  <c r="BJ33"/>
  <c r="BI33"/>
  <c r="BH33"/>
  <c r="BG33"/>
  <c r="BF33"/>
  <c r="AY33"/>
  <c r="AX33"/>
  <c r="AW33"/>
  <c r="AV33"/>
  <c r="AU33"/>
  <c r="AT33"/>
  <c r="AS33"/>
  <c r="AR33"/>
  <c r="AQ33"/>
  <c r="Z33"/>
  <c r="Y33"/>
  <c r="X33"/>
  <c r="U33"/>
  <c r="T33"/>
  <c r="R33"/>
  <c r="Q33"/>
  <c r="BN32"/>
  <c r="BM32"/>
  <c r="BL32"/>
  <c r="BK32"/>
  <c r="BJ32"/>
  <c r="BI32"/>
  <c r="BH32"/>
  <c r="BG32"/>
  <c r="BF32"/>
  <c r="AY32"/>
  <c r="AX32"/>
  <c r="AW32"/>
  <c r="AV32"/>
  <c r="AU32"/>
  <c r="AT32"/>
  <c r="AS32"/>
  <c r="AR32"/>
  <c r="AQ32"/>
  <c r="Z32"/>
  <c r="Y32"/>
  <c r="X32"/>
  <c r="U32"/>
  <c r="T32"/>
  <c r="R32"/>
  <c r="S32" s="1"/>
  <c r="Q32"/>
  <c r="BN31"/>
  <c r="BM31"/>
  <c r="BL31"/>
  <c r="BK31"/>
  <c r="BJ31"/>
  <c r="BI31"/>
  <c r="BH31"/>
  <c r="BG31"/>
  <c r="BF31"/>
  <c r="AY31"/>
  <c r="AX31"/>
  <c r="AW31"/>
  <c r="AV31"/>
  <c r="AU31"/>
  <c r="AT31"/>
  <c r="AS31"/>
  <c r="AR31"/>
  <c r="AQ31"/>
  <c r="Z31"/>
  <c r="Y31"/>
  <c r="X31"/>
  <c r="U31"/>
  <c r="T31"/>
  <c r="R31"/>
  <c r="Q31"/>
  <c r="BN30"/>
  <c r="BM30"/>
  <c r="BL30"/>
  <c r="BL35" s="1"/>
  <c r="BK30"/>
  <c r="BK35" s="1"/>
  <c r="BJ30"/>
  <c r="BJ35" s="1"/>
  <c r="BI30"/>
  <c r="BH30"/>
  <c r="BG30"/>
  <c r="BF30"/>
  <c r="AY30"/>
  <c r="AX30"/>
  <c r="AW30"/>
  <c r="AV30"/>
  <c r="AU30"/>
  <c r="AT30"/>
  <c r="AS30"/>
  <c r="AR30"/>
  <c r="AQ30"/>
  <c r="Z30"/>
  <c r="Y30"/>
  <c r="X30"/>
  <c r="U30"/>
  <c r="T30"/>
  <c r="R30"/>
  <c r="Q30"/>
  <c r="AY29"/>
  <c r="AX29"/>
  <c r="AW29"/>
  <c r="AV29"/>
  <c r="AU29"/>
  <c r="AT29"/>
  <c r="AS29"/>
  <c r="AR29"/>
  <c r="AQ29"/>
  <c r="Z29"/>
  <c r="Y29"/>
  <c r="X29"/>
  <c r="U29"/>
  <c r="T29"/>
  <c r="R29"/>
  <c r="Q29"/>
  <c r="Z28"/>
  <c r="Y28"/>
  <c r="X28"/>
  <c r="U28"/>
  <c r="T28"/>
  <c r="R28"/>
  <c r="Q28"/>
  <c r="AI27"/>
  <c r="AI29" s="1"/>
  <c r="AK26"/>
  <c r="AJ26"/>
  <c r="AI26"/>
  <c r="AK25"/>
  <c r="AK27" s="1"/>
  <c r="AK29" s="1"/>
  <c r="AJ25"/>
  <c r="AJ27" s="1"/>
  <c r="AJ29" s="1"/>
  <c r="AI25"/>
  <c r="J25"/>
  <c r="O24"/>
  <c r="AK23"/>
  <c r="AJ23"/>
  <c r="AI23"/>
  <c r="O23"/>
  <c r="AK22"/>
  <c r="J51" s="1"/>
  <c r="AJ22"/>
  <c r="J33" s="1"/>
  <c r="AI22"/>
  <c r="AI6" s="1"/>
  <c r="D22"/>
  <c r="O21"/>
  <c r="O20"/>
  <c r="O19"/>
  <c r="N18"/>
  <c r="D18"/>
  <c r="AK17"/>
  <c r="AJ17"/>
  <c r="D17"/>
  <c r="L12"/>
  <c r="C12"/>
  <c r="AI46" s="1"/>
  <c r="N11"/>
  <c r="L11"/>
  <c r="AJ10"/>
  <c r="AI10"/>
  <c r="J21" s="1"/>
  <c r="L10"/>
  <c r="C10"/>
  <c r="N10" s="1"/>
  <c r="AJ8"/>
  <c r="J35" s="1"/>
  <c r="AI8"/>
  <c r="J20" s="1"/>
  <c r="U8"/>
  <c r="N8"/>
  <c r="L8"/>
  <c r="C8"/>
  <c r="D25" s="1"/>
  <c r="U7"/>
  <c r="T7"/>
  <c r="N7"/>
  <c r="L7"/>
  <c r="C7"/>
  <c r="U6"/>
  <c r="T6"/>
  <c r="N6"/>
  <c r="L6"/>
  <c r="C6"/>
  <c r="U5"/>
  <c r="T5"/>
  <c r="N5"/>
  <c r="L5"/>
  <c r="J5"/>
  <c r="C5"/>
  <c r="U4"/>
  <c r="T4"/>
  <c r="N4"/>
  <c r="L4"/>
  <c r="J4"/>
  <c r="C4"/>
  <c r="BN3"/>
  <c r="BM3"/>
  <c r="BL3"/>
  <c r="BK3"/>
  <c r="BJ3"/>
  <c r="BI3"/>
  <c r="BH3"/>
  <c r="BG3"/>
  <c r="BF3"/>
  <c r="AY3"/>
  <c r="AX3"/>
  <c r="AW3"/>
  <c r="AV3"/>
  <c r="AU3"/>
  <c r="AT3"/>
  <c r="AS3"/>
  <c r="AR3"/>
  <c r="AQ3"/>
  <c r="L3"/>
  <c r="O23" i="58"/>
  <c r="O19"/>
  <c r="D57"/>
  <c r="J49"/>
  <c r="AK6" s="1"/>
  <c r="Z45"/>
  <c r="Y45"/>
  <c r="X45"/>
  <c r="U45"/>
  <c r="T45"/>
  <c r="R45"/>
  <c r="Q45"/>
  <c r="P45"/>
  <c r="P44" s="1"/>
  <c r="P43" s="1"/>
  <c r="P42" s="1"/>
  <c r="P41" s="1"/>
  <c r="P40" s="1"/>
  <c r="P39" s="1"/>
  <c r="P38" s="1"/>
  <c r="P37" s="1"/>
  <c r="P36" s="1"/>
  <c r="P35" s="1"/>
  <c r="P34" s="1"/>
  <c r="P33" s="1"/>
  <c r="P32" s="1"/>
  <c r="P31" s="1"/>
  <c r="P30" s="1"/>
  <c r="P29" s="1"/>
  <c r="Z44"/>
  <c r="Y44"/>
  <c r="X44"/>
  <c r="U44"/>
  <c r="T44"/>
  <c r="R44"/>
  <c r="S44" s="1"/>
  <c r="Q44"/>
  <c r="Z43"/>
  <c r="Y43"/>
  <c r="X43"/>
  <c r="U43"/>
  <c r="T43"/>
  <c r="S43"/>
  <c r="R43"/>
  <c r="Q43"/>
  <c r="Z42"/>
  <c r="Y42"/>
  <c r="X42"/>
  <c r="U42"/>
  <c r="T42"/>
  <c r="R42"/>
  <c r="Q42"/>
  <c r="J42"/>
  <c r="Z41"/>
  <c r="Y41"/>
  <c r="X41"/>
  <c r="U41"/>
  <c r="T41"/>
  <c r="R41"/>
  <c r="Q41"/>
  <c r="Z40"/>
  <c r="Y40"/>
  <c r="X40"/>
  <c r="U40"/>
  <c r="T40"/>
  <c r="R40"/>
  <c r="S40" s="1"/>
  <c r="Q40"/>
  <c r="Z39"/>
  <c r="Y39"/>
  <c r="X39"/>
  <c r="U39"/>
  <c r="T39"/>
  <c r="R39"/>
  <c r="S39" s="1"/>
  <c r="Q39"/>
  <c r="B39"/>
  <c r="Z38"/>
  <c r="Y38"/>
  <c r="X38"/>
  <c r="U38"/>
  <c r="T38"/>
  <c r="R38"/>
  <c r="Q38"/>
  <c r="BE37"/>
  <c r="AP37"/>
  <c r="Z37"/>
  <c r="Y37"/>
  <c r="X37"/>
  <c r="U37"/>
  <c r="T37"/>
  <c r="S37"/>
  <c r="R37"/>
  <c r="Q37"/>
  <c r="Z36"/>
  <c r="Y36"/>
  <c r="X36"/>
  <c r="U36"/>
  <c r="T36"/>
  <c r="R36"/>
  <c r="S36" s="1"/>
  <c r="Q36"/>
  <c r="Z35"/>
  <c r="Y35"/>
  <c r="X35"/>
  <c r="U35"/>
  <c r="T35"/>
  <c r="S35"/>
  <c r="R35"/>
  <c r="Q35"/>
  <c r="BN34"/>
  <c r="BM34"/>
  <c r="BL34"/>
  <c r="BK34"/>
  <c r="BJ34"/>
  <c r="BI34"/>
  <c r="BH34"/>
  <c r="BG34"/>
  <c r="BF34"/>
  <c r="AY34"/>
  <c r="AX34"/>
  <c r="AW34"/>
  <c r="AV34"/>
  <c r="AU34"/>
  <c r="AT34"/>
  <c r="AS34"/>
  <c r="AR34"/>
  <c r="AQ34"/>
  <c r="Z34"/>
  <c r="Y34"/>
  <c r="X34"/>
  <c r="U34"/>
  <c r="T34"/>
  <c r="R34"/>
  <c r="Q34"/>
  <c r="BN33"/>
  <c r="BM33"/>
  <c r="BL33"/>
  <c r="BK33"/>
  <c r="BJ33"/>
  <c r="BI33"/>
  <c r="BH33"/>
  <c r="BG33"/>
  <c r="BF33"/>
  <c r="AY33"/>
  <c r="AX33"/>
  <c r="AW33"/>
  <c r="AV33"/>
  <c r="AU33"/>
  <c r="AT33"/>
  <c r="AS33"/>
  <c r="AR33"/>
  <c r="AQ33"/>
  <c r="Z33"/>
  <c r="Y33"/>
  <c r="X33"/>
  <c r="U33"/>
  <c r="T33"/>
  <c r="R33"/>
  <c r="Q33"/>
  <c r="BN32"/>
  <c r="BM32"/>
  <c r="BL32"/>
  <c r="BK32"/>
  <c r="BJ32"/>
  <c r="BI32"/>
  <c r="BH32"/>
  <c r="BG32"/>
  <c r="BF32"/>
  <c r="AY32"/>
  <c r="AX32"/>
  <c r="AW32"/>
  <c r="AV32"/>
  <c r="AU32"/>
  <c r="AT32"/>
  <c r="AS32"/>
  <c r="AR32"/>
  <c r="AQ32"/>
  <c r="Z32"/>
  <c r="Y32"/>
  <c r="X32"/>
  <c r="U32"/>
  <c r="T32"/>
  <c r="R32"/>
  <c r="Q32"/>
  <c r="BN31"/>
  <c r="BM31"/>
  <c r="BL31"/>
  <c r="BK31"/>
  <c r="BJ31"/>
  <c r="BI31"/>
  <c r="BH31"/>
  <c r="BG31"/>
  <c r="BF31"/>
  <c r="AY31"/>
  <c r="AX31"/>
  <c r="AW31"/>
  <c r="AV31"/>
  <c r="AU31"/>
  <c r="AT31"/>
  <c r="AS31"/>
  <c r="AR31"/>
  <c r="AQ31"/>
  <c r="Z31"/>
  <c r="Y31"/>
  <c r="X31"/>
  <c r="U31"/>
  <c r="T31"/>
  <c r="R31"/>
  <c r="Q31"/>
  <c r="BN30"/>
  <c r="BM30"/>
  <c r="BL30"/>
  <c r="BK30"/>
  <c r="BJ30"/>
  <c r="BI30"/>
  <c r="BH30"/>
  <c r="BG30"/>
  <c r="BF30"/>
  <c r="AY30"/>
  <c r="AX30"/>
  <c r="AW30"/>
  <c r="AV30"/>
  <c r="AU30"/>
  <c r="AT30"/>
  <c r="AS30"/>
  <c r="AR30"/>
  <c r="AQ30"/>
  <c r="AY29"/>
  <c r="AX29"/>
  <c r="AW29"/>
  <c r="AV29"/>
  <c r="AU29"/>
  <c r="AT29"/>
  <c r="AS29"/>
  <c r="AR29"/>
  <c r="AQ29"/>
  <c r="AK26"/>
  <c r="AJ26"/>
  <c r="AI26"/>
  <c r="O26"/>
  <c r="AK25"/>
  <c r="AJ25"/>
  <c r="AI25"/>
  <c r="O25"/>
  <c r="J25"/>
  <c r="O24"/>
  <c r="AK23"/>
  <c r="AJ23"/>
  <c r="AI23"/>
  <c r="AK22"/>
  <c r="J51" s="1"/>
  <c r="AJ22"/>
  <c r="J33" s="1"/>
  <c r="AI22"/>
  <c r="AI18" s="1"/>
  <c r="AI19" s="1"/>
  <c r="AI15" s="1"/>
  <c r="O22"/>
  <c r="D22"/>
  <c r="O21"/>
  <c r="O20"/>
  <c r="N18"/>
  <c r="D18"/>
  <c r="AK17"/>
  <c r="AJ17"/>
  <c r="D17"/>
  <c r="L12"/>
  <c r="N11"/>
  <c r="L11"/>
  <c r="AJ10"/>
  <c r="J36" s="1"/>
  <c r="AI10"/>
  <c r="J21" s="1"/>
  <c r="N10"/>
  <c r="L10"/>
  <c r="C10"/>
  <c r="C12" s="1"/>
  <c r="AJ8"/>
  <c r="J35" s="1"/>
  <c r="AI8"/>
  <c r="J20" s="1"/>
  <c r="U8"/>
  <c r="N8"/>
  <c r="L8"/>
  <c r="C8"/>
  <c r="D25" s="1"/>
  <c r="U7"/>
  <c r="T7"/>
  <c r="N7"/>
  <c r="L7"/>
  <c r="C7"/>
  <c r="U6"/>
  <c r="T6"/>
  <c r="N6"/>
  <c r="L6"/>
  <c r="C6"/>
  <c r="U5"/>
  <c r="T5"/>
  <c r="N5"/>
  <c r="L5"/>
  <c r="J5"/>
  <c r="C5"/>
  <c r="U4"/>
  <c r="T4"/>
  <c r="N4"/>
  <c r="L4"/>
  <c r="J4"/>
  <c r="C4"/>
  <c r="BN3"/>
  <c r="BM3"/>
  <c r="BL3"/>
  <c r="BK3"/>
  <c r="BJ3"/>
  <c r="BI3"/>
  <c r="BH3"/>
  <c r="BG3"/>
  <c r="BF3"/>
  <c r="AY3"/>
  <c r="AX3"/>
  <c r="AW3"/>
  <c r="AV3"/>
  <c r="AU3"/>
  <c r="AT3"/>
  <c r="AS3"/>
  <c r="AR3"/>
  <c r="AQ3"/>
  <c r="L3"/>
  <c r="Q32" i="56"/>
  <c r="Q33"/>
  <c r="Q34"/>
  <c r="Q35"/>
  <c r="Q36"/>
  <c r="Q37"/>
  <c r="Q38"/>
  <c r="Q39"/>
  <c r="Q40"/>
  <c r="Q41"/>
  <c r="Q42"/>
  <c r="Q43"/>
  <c r="Q44"/>
  <c r="Q45"/>
  <c r="AI8"/>
  <c r="AI10"/>
  <c r="J21" s="1"/>
  <c r="AJ8"/>
  <c r="AI22"/>
  <c r="AI6" s="1"/>
  <c r="O21"/>
  <c r="O22"/>
  <c r="O23"/>
  <c r="O24"/>
  <c r="O25"/>
  <c r="O27"/>
  <c r="O19"/>
  <c r="AI27"/>
  <c r="AI26"/>
  <c r="AI25"/>
  <c r="AJ25"/>
  <c r="AJ26"/>
  <c r="O20"/>
  <c r="AJ10"/>
  <c r="J36" s="1"/>
  <c r="F16" i="7"/>
  <c r="E16"/>
  <c r="O30" i="57"/>
  <c r="O28"/>
  <c r="O25"/>
  <c r="O26"/>
  <c r="O27"/>
  <c r="O23"/>
  <c r="O21"/>
  <c r="J49"/>
  <c r="AK8" s="1"/>
  <c r="J53" s="1"/>
  <c r="Z45"/>
  <c r="Y45"/>
  <c r="X45"/>
  <c r="U45"/>
  <c r="T45"/>
  <c r="R45"/>
  <c r="S45" s="1"/>
  <c r="Q45"/>
  <c r="P45"/>
  <c r="P44" s="1"/>
  <c r="P43" s="1"/>
  <c r="P42" s="1"/>
  <c r="P41" s="1"/>
  <c r="P40" s="1"/>
  <c r="P39" s="1"/>
  <c r="P38" s="1"/>
  <c r="P37" s="1"/>
  <c r="P36" s="1"/>
  <c r="P35" s="1"/>
  <c r="P34" s="1"/>
  <c r="P33" s="1"/>
  <c r="P32" s="1"/>
  <c r="P31" s="1"/>
  <c r="Z44"/>
  <c r="Y44"/>
  <c r="X44"/>
  <c r="U44"/>
  <c r="T44"/>
  <c r="R44"/>
  <c r="Q44"/>
  <c r="Z43"/>
  <c r="Y43"/>
  <c r="X43"/>
  <c r="U43"/>
  <c r="T43"/>
  <c r="R43"/>
  <c r="Q43"/>
  <c r="Z42"/>
  <c r="Y42"/>
  <c r="X42"/>
  <c r="U42"/>
  <c r="T42"/>
  <c r="R42"/>
  <c r="S42" s="1"/>
  <c r="Q42"/>
  <c r="Z41"/>
  <c r="Y41"/>
  <c r="X41"/>
  <c r="U41"/>
  <c r="T41"/>
  <c r="R41"/>
  <c r="Q41"/>
  <c r="Z40"/>
  <c r="Y40"/>
  <c r="X40"/>
  <c r="U40"/>
  <c r="T40"/>
  <c r="R40"/>
  <c r="Q40"/>
  <c r="Z39"/>
  <c r="Y39"/>
  <c r="X39"/>
  <c r="U39"/>
  <c r="T39"/>
  <c r="R39"/>
  <c r="Q39"/>
  <c r="B39"/>
  <c r="Z38"/>
  <c r="Y38"/>
  <c r="X38"/>
  <c r="U38"/>
  <c r="T38"/>
  <c r="R38"/>
  <c r="Q38"/>
  <c r="BE37"/>
  <c r="AP37"/>
  <c r="Z37"/>
  <c r="Y37"/>
  <c r="X37"/>
  <c r="U37"/>
  <c r="T37"/>
  <c r="R37"/>
  <c r="Q37"/>
  <c r="Z36"/>
  <c r="Y36"/>
  <c r="X36"/>
  <c r="U36"/>
  <c r="T36"/>
  <c r="R36"/>
  <c r="Q36"/>
  <c r="Z35"/>
  <c r="Y35"/>
  <c r="X35"/>
  <c r="U35"/>
  <c r="T35"/>
  <c r="R35"/>
  <c r="Q35"/>
  <c r="BN34"/>
  <c r="BM34"/>
  <c r="BL34"/>
  <c r="BK34"/>
  <c r="BJ34"/>
  <c r="BI34"/>
  <c r="BH34"/>
  <c r="BG34"/>
  <c r="BF34"/>
  <c r="AY34"/>
  <c r="AX34"/>
  <c r="AW34"/>
  <c r="AV34"/>
  <c r="AU34"/>
  <c r="AT34"/>
  <c r="AS34"/>
  <c r="AR34"/>
  <c r="AQ34"/>
  <c r="Z34"/>
  <c r="Y34"/>
  <c r="X34"/>
  <c r="U34"/>
  <c r="T34"/>
  <c r="R34"/>
  <c r="Q34"/>
  <c r="BN33"/>
  <c r="BM33"/>
  <c r="BL33"/>
  <c r="BK33"/>
  <c r="BJ33"/>
  <c r="BI33"/>
  <c r="BH33"/>
  <c r="BG33"/>
  <c r="BF33"/>
  <c r="AY33"/>
  <c r="AX33"/>
  <c r="AW33"/>
  <c r="AV33"/>
  <c r="AU33"/>
  <c r="AT33"/>
  <c r="AS33"/>
  <c r="AR33"/>
  <c r="AQ33"/>
  <c r="Z33"/>
  <c r="Y33"/>
  <c r="X33"/>
  <c r="U33"/>
  <c r="T33"/>
  <c r="R33"/>
  <c r="Q33"/>
  <c r="BN32"/>
  <c r="BM32"/>
  <c r="BL32"/>
  <c r="BK32"/>
  <c r="BJ32"/>
  <c r="BI32"/>
  <c r="BH32"/>
  <c r="BG32"/>
  <c r="BF32"/>
  <c r="AY32"/>
  <c r="AX32"/>
  <c r="AW32"/>
  <c r="AV32"/>
  <c r="AU32"/>
  <c r="AT32"/>
  <c r="AS32"/>
  <c r="AR32"/>
  <c r="AQ32"/>
  <c r="Z32"/>
  <c r="Y32"/>
  <c r="X32"/>
  <c r="U32"/>
  <c r="T32"/>
  <c r="R32"/>
  <c r="Q32"/>
  <c r="J32"/>
  <c r="AJ22" s="1"/>
  <c r="J33" s="1"/>
  <c r="BN31"/>
  <c r="BM31"/>
  <c r="BL31"/>
  <c r="BK31"/>
  <c r="BJ31"/>
  <c r="BI31"/>
  <c r="BH31"/>
  <c r="BG31"/>
  <c r="BF31"/>
  <c r="AY31"/>
  <c r="AX31"/>
  <c r="AW31"/>
  <c r="AV31"/>
  <c r="AU31"/>
  <c r="AT31"/>
  <c r="AS31"/>
  <c r="AR31"/>
  <c r="AQ31"/>
  <c r="AI31"/>
  <c r="Z31"/>
  <c r="Y31"/>
  <c r="X31"/>
  <c r="U31"/>
  <c r="T31"/>
  <c r="R31"/>
  <c r="Q31"/>
  <c r="J31"/>
  <c r="J42" s="1"/>
  <c r="BN30"/>
  <c r="BM30"/>
  <c r="BL30"/>
  <c r="BK30"/>
  <c r="BJ30"/>
  <c r="BI30"/>
  <c r="BH30"/>
  <c r="BG30"/>
  <c r="BF30"/>
  <c r="AY30"/>
  <c r="AX30"/>
  <c r="AW30"/>
  <c r="AV30"/>
  <c r="AU30"/>
  <c r="AT30"/>
  <c r="AS30"/>
  <c r="AR30"/>
  <c r="AQ30"/>
  <c r="AY29"/>
  <c r="AX29"/>
  <c r="AW29"/>
  <c r="AV29"/>
  <c r="AU29"/>
  <c r="AT29"/>
  <c r="AS29"/>
  <c r="AR29"/>
  <c r="AQ29"/>
  <c r="AK26"/>
  <c r="AJ26"/>
  <c r="AK25"/>
  <c r="AJ25"/>
  <c r="AI25"/>
  <c r="AI27" s="1"/>
  <c r="J25"/>
  <c r="AI23"/>
  <c r="AK22"/>
  <c r="J51" s="1"/>
  <c r="AI22"/>
  <c r="AI6" s="1"/>
  <c r="D22"/>
  <c r="N18"/>
  <c r="D57" s="1"/>
  <c r="D18"/>
  <c r="AK17"/>
  <c r="AJ17"/>
  <c r="D17"/>
  <c r="L12"/>
  <c r="L11"/>
  <c r="C11"/>
  <c r="N11" s="1"/>
  <c r="AI10"/>
  <c r="J21" s="1"/>
  <c r="L10"/>
  <c r="C10"/>
  <c r="N10" s="1"/>
  <c r="U8"/>
  <c r="N8"/>
  <c r="L8"/>
  <c r="C8"/>
  <c r="G47" s="1"/>
  <c r="U7"/>
  <c r="T7"/>
  <c r="N7"/>
  <c r="L7"/>
  <c r="C7"/>
  <c r="U6"/>
  <c r="T6"/>
  <c r="N6"/>
  <c r="L6"/>
  <c r="C6"/>
  <c r="U5"/>
  <c r="T5"/>
  <c r="N5"/>
  <c r="L5"/>
  <c r="J5"/>
  <c r="C5"/>
  <c r="U4"/>
  <c r="T4"/>
  <c r="N4"/>
  <c r="L4"/>
  <c r="J4"/>
  <c r="C4"/>
  <c r="BN3"/>
  <c r="BM3"/>
  <c r="BL3"/>
  <c r="BK3"/>
  <c r="BJ3"/>
  <c r="BI3"/>
  <c r="BH3"/>
  <c r="BG3"/>
  <c r="BF3"/>
  <c r="AY3"/>
  <c r="AX3"/>
  <c r="AW3"/>
  <c r="AV3"/>
  <c r="AU3"/>
  <c r="AT3"/>
  <c r="AS3"/>
  <c r="AR3"/>
  <c r="AQ3"/>
  <c r="L3"/>
  <c r="J49" i="56"/>
  <c r="AK10" s="1"/>
  <c r="Z45"/>
  <c r="Y45"/>
  <c r="X45"/>
  <c r="U45"/>
  <c r="T45"/>
  <c r="R45"/>
  <c r="P45"/>
  <c r="P44" s="1"/>
  <c r="P43" s="1"/>
  <c r="P42" s="1"/>
  <c r="P41" s="1"/>
  <c r="P40" s="1"/>
  <c r="P39" s="1"/>
  <c r="P38" s="1"/>
  <c r="P37" s="1"/>
  <c r="P36" s="1"/>
  <c r="P35" s="1"/>
  <c r="P34" s="1"/>
  <c r="P33" s="1"/>
  <c r="P32" s="1"/>
  <c r="Z44"/>
  <c r="Y44"/>
  <c r="X44"/>
  <c r="U44"/>
  <c r="T44"/>
  <c r="R44"/>
  <c r="Z43"/>
  <c r="Y43"/>
  <c r="X43"/>
  <c r="U43"/>
  <c r="T43"/>
  <c r="R43"/>
  <c r="Z42"/>
  <c r="Y42"/>
  <c r="X42"/>
  <c r="U42"/>
  <c r="T42"/>
  <c r="R42"/>
  <c r="Z41"/>
  <c r="Y41"/>
  <c r="X41"/>
  <c r="U41"/>
  <c r="T41"/>
  <c r="R41"/>
  <c r="Z40"/>
  <c r="Y40"/>
  <c r="X40"/>
  <c r="U40"/>
  <c r="T40"/>
  <c r="R40"/>
  <c r="Z39"/>
  <c r="Y39"/>
  <c r="X39"/>
  <c r="U39"/>
  <c r="T39"/>
  <c r="R39"/>
  <c r="B39"/>
  <c r="Z38"/>
  <c r="Y38"/>
  <c r="X38"/>
  <c r="U38"/>
  <c r="T38"/>
  <c r="R38"/>
  <c r="BE37"/>
  <c r="AP37"/>
  <c r="AI31" s="1"/>
  <c r="Z37"/>
  <c r="Y37"/>
  <c r="X37"/>
  <c r="U37"/>
  <c r="T37"/>
  <c r="R37"/>
  <c r="Z36"/>
  <c r="Y36"/>
  <c r="X36"/>
  <c r="U36"/>
  <c r="T36"/>
  <c r="R36"/>
  <c r="Z35"/>
  <c r="Y35"/>
  <c r="X35"/>
  <c r="U35"/>
  <c r="T35"/>
  <c r="R35"/>
  <c r="BN34"/>
  <c r="BM34"/>
  <c r="BL34"/>
  <c r="BK34"/>
  <c r="BJ34"/>
  <c r="BI34"/>
  <c r="BH34"/>
  <c r="BG34"/>
  <c r="BF34"/>
  <c r="AY34"/>
  <c r="AX34"/>
  <c r="AW34"/>
  <c r="AV34"/>
  <c r="AU34"/>
  <c r="AT34"/>
  <c r="AS34"/>
  <c r="AR34"/>
  <c r="AQ34"/>
  <c r="Z34"/>
  <c r="Y34"/>
  <c r="X34"/>
  <c r="U34"/>
  <c r="T34"/>
  <c r="R34"/>
  <c r="BN33"/>
  <c r="BM33"/>
  <c r="BL33"/>
  <c r="BK33"/>
  <c r="BJ33"/>
  <c r="BI33"/>
  <c r="BH33"/>
  <c r="BG33"/>
  <c r="BF33"/>
  <c r="AY33"/>
  <c r="AX33"/>
  <c r="AW33"/>
  <c r="AV33"/>
  <c r="AU33"/>
  <c r="AT33"/>
  <c r="AS33"/>
  <c r="AR33"/>
  <c r="AQ33"/>
  <c r="Z33"/>
  <c r="Y33"/>
  <c r="X33"/>
  <c r="U33"/>
  <c r="T33"/>
  <c r="R33"/>
  <c r="BN32"/>
  <c r="BM32"/>
  <c r="BL32"/>
  <c r="BK32"/>
  <c r="BJ32"/>
  <c r="BI32"/>
  <c r="BH32"/>
  <c r="BG32"/>
  <c r="BF32"/>
  <c r="AY32"/>
  <c r="AX32"/>
  <c r="AW32"/>
  <c r="AV32"/>
  <c r="AU32"/>
  <c r="AT32"/>
  <c r="AS32"/>
  <c r="AR32"/>
  <c r="AQ32"/>
  <c r="Z32"/>
  <c r="Y32"/>
  <c r="X32"/>
  <c r="U32"/>
  <c r="T32"/>
  <c r="R32"/>
  <c r="AJ23"/>
  <c r="BN31"/>
  <c r="BM31"/>
  <c r="BL31"/>
  <c r="BK31"/>
  <c r="BJ31"/>
  <c r="BI31"/>
  <c r="BH31"/>
  <c r="BG31"/>
  <c r="BF31"/>
  <c r="AY31"/>
  <c r="AX31"/>
  <c r="AW31"/>
  <c r="AV31"/>
  <c r="AU31"/>
  <c r="AT31"/>
  <c r="AS31"/>
  <c r="AR31"/>
  <c r="AQ31"/>
  <c r="BN30"/>
  <c r="BM30"/>
  <c r="BL30"/>
  <c r="BK30"/>
  <c r="BJ30"/>
  <c r="BI30"/>
  <c r="BH30"/>
  <c r="BG30"/>
  <c r="BF30"/>
  <c r="AY30"/>
  <c r="AX30"/>
  <c r="AW30"/>
  <c r="AV30"/>
  <c r="AU30"/>
  <c r="AT30"/>
  <c r="AS30"/>
  <c r="AR30"/>
  <c r="AQ30"/>
  <c r="AY29"/>
  <c r="AX29"/>
  <c r="AW29"/>
  <c r="AV29"/>
  <c r="AU29"/>
  <c r="AT29"/>
  <c r="AS29"/>
  <c r="AR29"/>
  <c r="AQ29"/>
  <c r="AK26"/>
  <c r="AK25"/>
  <c r="J25"/>
  <c r="AI23"/>
  <c r="D22"/>
  <c r="N18"/>
  <c r="D57" s="1"/>
  <c r="D18"/>
  <c r="AK17"/>
  <c r="AJ17"/>
  <c r="D17"/>
  <c r="L12"/>
  <c r="L11"/>
  <c r="N11"/>
  <c r="L10"/>
  <c r="C10"/>
  <c r="N10" s="1"/>
  <c r="U8"/>
  <c r="N8"/>
  <c r="L8"/>
  <c r="C8"/>
  <c r="D25" s="1"/>
  <c r="U7"/>
  <c r="T7"/>
  <c r="N7"/>
  <c r="L7"/>
  <c r="C7"/>
  <c r="U6"/>
  <c r="T6"/>
  <c r="N6"/>
  <c r="L6"/>
  <c r="C6"/>
  <c r="U5"/>
  <c r="T5"/>
  <c r="N5"/>
  <c r="L5"/>
  <c r="J5"/>
  <c r="C5"/>
  <c r="U4"/>
  <c r="T4"/>
  <c r="N4"/>
  <c r="L4"/>
  <c r="J4"/>
  <c r="C4"/>
  <c r="BN3"/>
  <c r="BM3"/>
  <c r="BL3"/>
  <c r="BK3"/>
  <c r="BJ3"/>
  <c r="BI3"/>
  <c r="BH3"/>
  <c r="BG3"/>
  <c r="BF3"/>
  <c r="AY3"/>
  <c r="AX3"/>
  <c r="AW3"/>
  <c r="AV3"/>
  <c r="AU3"/>
  <c r="AT3"/>
  <c r="AS3"/>
  <c r="AR3"/>
  <c r="AQ3"/>
  <c r="L3"/>
  <c r="P26" i="59" l="1"/>
  <c r="P25" s="1"/>
  <c r="P24" s="1"/>
  <c r="P23" s="1"/>
  <c r="Q23" s="1"/>
  <c r="P31" i="56"/>
  <c r="Q31" s="1"/>
  <c r="P28" i="58"/>
  <c r="Q28" s="1"/>
  <c r="S45" i="59"/>
  <c r="D15"/>
  <c r="D24" s="1"/>
  <c r="R51" s="1"/>
  <c r="AI47"/>
  <c r="D16" s="1"/>
  <c r="AK6"/>
  <c r="J52" s="1"/>
  <c r="AS35"/>
  <c r="AV35"/>
  <c r="AW35"/>
  <c r="AI32" s="1"/>
  <c r="BH35"/>
  <c r="N12"/>
  <c r="AR35"/>
  <c r="BN35"/>
  <c r="BI35"/>
  <c r="AY35"/>
  <c r="AX35"/>
  <c r="J18"/>
  <c r="AU35"/>
  <c r="AT35"/>
  <c r="BG35"/>
  <c r="AQ35"/>
  <c r="BM35"/>
  <c r="AK38"/>
  <c r="U50" s="1"/>
  <c r="AI36"/>
  <c r="U48" s="1"/>
  <c r="J19"/>
  <c r="AK19"/>
  <c r="AK15" s="1"/>
  <c r="AI34"/>
  <c r="D32" s="1"/>
  <c r="AK18"/>
  <c r="AR35" i="58"/>
  <c r="BN35"/>
  <c r="AK8" i="59"/>
  <c r="J53" s="1"/>
  <c r="Q27" s="1"/>
  <c r="S35"/>
  <c r="S39"/>
  <c r="J58"/>
  <c r="BG35" i="58"/>
  <c r="S29" i="59"/>
  <c r="S31"/>
  <c r="AI33"/>
  <c r="S36"/>
  <c r="S43"/>
  <c r="AK10"/>
  <c r="AI18"/>
  <c r="AI19" s="1"/>
  <c r="AI15" s="1"/>
  <c r="S33"/>
  <c r="S41"/>
  <c r="AJ18"/>
  <c r="AJ19" s="1"/>
  <c r="AJ15" s="1"/>
  <c r="AJ12" s="1"/>
  <c r="S37"/>
  <c r="AK27" i="58"/>
  <c r="AK29" s="1"/>
  <c r="S38" i="59"/>
  <c r="AJ6"/>
  <c r="S28"/>
  <c r="S34"/>
  <c r="S31" i="58"/>
  <c r="S44" i="59"/>
  <c r="S30"/>
  <c r="S42"/>
  <c r="S45" i="58"/>
  <c r="AQ35"/>
  <c r="BJ35"/>
  <c r="AI33" s="1"/>
  <c r="AI34" s="1"/>
  <c r="D32" s="1"/>
  <c r="AU35"/>
  <c r="BL35"/>
  <c r="AX35"/>
  <c r="BH35"/>
  <c r="AW35"/>
  <c r="AI32" s="1"/>
  <c r="BF35"/>
  <c r="BM35"/>
  <c r="AY35"/>
  <c r="AS35"/>
  <c r="BI35"/>
  <c r="J18"/>
  <c r="AT35"/>
  <c r="AV35"/>
  <c r="AJ6"/>
  <c r="J34" s="1"/>
  <c r="AI6"/>
  <c r="AI36" s="1"/>
  <c r="U48" s="1"/>
  <c r="BK35"/>
  <c r="AJ27"/>
  <c r="AJ29" s="1"/>
  <c r="AI27"/>
  <c r="AI29" s="1"/>
  <c r="AI12"/>
  <c r="U18"/>
  <c r="J52"/>
  <c r="AK38"/>
  <c r="U50" s="1"/>
  <c r="N12"/>
  <c r="AI46"/>
  <c r="Q29"/>
  <c r="J58"/>
  <c r="AK8"/>
  <c r="J53" s="1"/>
  <c r="Q30" s="1"/>
  <c r="AJ23" i="57"/>
  <c r="AK23"/>
  <c r="AK27" i="56"/>
  <c r="AK29" s="1"/>
  <c r="S32" i="58"/>
  <c r="S41"/>
  <c r="BN35" i="56"/>
  <c r="S38" i="58"/>
  <c r="AJ18"/>
  <c r="AJ19" s="1"/>
  <c r="AJ15" s="1"/>
  <c r="AJ12" s="1"/>
  <c r="AK6" i="56"/>
  <c r="AK10" i="58"/>
  <c r="S34"/>
  <c r="AK18"/>
  <c r="AK19" s="1"/>
  <c r="AK15" s="1"/>
  <c r="AK8" i="56"/>
  <c r="J53" s="1"/>
  <c r="AI31" i="58"/>
  <c r="S33"/>
  <c r="S42"/>
  <c r="C12" i="57"/>
  <c r="AI46" s="1"/>
  <c r="D15" s="1"/>
  <c r="D24" s="1"/>
  <c r="R51" s="1"/>
  <c r="J19" i="56"/>
  <c r="AY35"/>
  <c r="BH35"/>
  <c r="AJ10" i="57"/>
  <c r="J36" s="1"/>
  <c r="AJ8"/>
  <c r="J35" s="1"/>
  <c r="BH35"/>
  <c r="S35"/>
  <c r="S42" i="56"/>
  <c r="BI35" i="57"/>
  <c r="BF35"/>
  <c r="S39"/>
  <c r="AI29" i="56"/>
  <c r="AI29" i="57"/>
  <c r="P30"/>
  <c r="AJ27"/>
  <c r="AJ29" s="1"/>
  <c r="AY35"/>
  <c r="AU35"/>
  <c r="BN35"/>
  <c r="AR35"/>
  <c r="AI32" s="1"/>
  <c r="AQ35"/>
  <c r="BL35"/>
  <c r="BG35"/>
  <c r="AI33" s="1"/>
  <c r="AK27"/>
  <c r="AK29" s="1"/>
  <c r="AS35"/>
  <c r="AT35"/>
  <c r="BM35"/>
  <c r="AX35"/>
  <c r="BJ35"/>
  <c r="AW35"/>
  <c r="AV35"/>
  <c r="AK18"/>
  <c r="AK19" s="1"/>
  <c r="AK15" s="1"/>
  <c r="AI18"/>
  <c r="AI19" s="1"/>
  <c r="AI15" s="1"/>
  <c r="AI8"/>
  <c r="J20" s="1"/>
  <c r="J18"/>
  <c r="AJ18"/>
  <c r="AJ19" s="1"/>
  <c r="AJ15" s="1"/>
  <c r="BK35"/>
  <c r="AI36"/>
  <c r="U48" s="1"/>
  <c r="J19"/>
  <c r="S43"/>
  <c r="S31"/>
  <c r="AK10"/>
  <c r="BM35" i="56"/>
  <c r="S37" i="57"/>
  <c r="S44"/>
  <c r="BG35" i="56"/>
  <c r="S36" i="57"/>
  <c r="AK6"/>
  <c r="D25"/>
  <c r="S33"/>
  <c r="S41"/>
  <c r="AJ6"/>
  <c r="J58"/>
  <c r="S38"/>
  <c r="S40"/>
  <c r="S34"/>
  <c r="S32"/>
  <c r="AQ35" i="56"/>
  <c r="BF35"/>
  <c r="S39"/>
  <c r="S35"/>
  <c r="AJ27"/>
  <c r="AJ29" s="1"/>
  <c r="AK22"/>
  <c r="J51" s="1"/>
  <c r="AJ22"/>
  <c r="AJ6" s="1"/>
  <c r="S45"/>
  <c r="J42"/>
  <c r="J35"/>
  <c r="AW35"/>
  <c r="AI18"/>
  <c r="AI19" s="1"/>
  <c r="AI15" s="1"/>
  <c r="AU35"/>
  <c r="AS35"/>
  <c r="AT35"/>
  <c r="AX35"/>
  <c r="AV35"/>
  <c r="J20"/>
  <c r="BK35"/>
  <c r="AR35"/>
  <c r="BL35"/>
  <c r="BJ35"/>
  <c r="AI33" s="1"/>
  <c r="AI34" s="1"/>
  <c r="D32" s="1"/>
  <c r="BI35"/>
  <c r="J18"/>
  <c r="S36"/>
  <c r="S40"/>
  <c r="C12"/>
  <c r="S32"/>
  <c r="AK23"/>
  <c r="S37"/>
  <c r="S44"/>
  <c r="J58"/>
  <c r="S33"/>
  <c r="S41"/>
  <c r="S43"/>
  <c r="S38"/>
  <c r="S34"/>
  <c r="P22" i="59" l="1"/>
  <c r="P21" s="1"/>
  <c r="P20" s="1"/>
  <c r="P19" s="1"/>
  <c r="P18" s="1"/>
  <c r="D56" s="1"/>
  <c r="Q25"/>
  <c r="Q24"/>
  <c r="Q26"/>
  <c r="P30" i="56"/>
  <c r="Q30" s="1"/>
  <c r="P27" i="58"/>
  <c r="AI12" i="59"/>
  <c r="AI13" s="1"/>
  <c r="J22" s="1"/>
  <c r="T18" s="1"/>
  <c r="U18"/>
  <c r="U19" s="1"/>
  <c r="J37"/>
  <c r="AJ13"/>
  <c r="J54"/>
  <c r="AK12"/>
  <c r="AJ37"/>
  <c r="U49" s="1"/>
  <c r="J34"/>
  <c r="J19" i="58"/>
  <c r="AJ37"/>
  <c r="U49" s="1"/>
  <c r="J22"/>
  <c r="T18" s="1"/>
  <c r="AI13"/>
  <c r="J54"/>
  <c r="AK12"/>
  <c r="AI32" i="56"/>
  <c r="Y18" i="58"/>
  <c r="AQ58"/>
  <c r="AJ13"/>
  <c r="J37" s="1"/>
  <c r="AI47"/>
  <c r="D16" s="1"/>
  <c r="D15"/>
  <c r="D24" s="1"/>
  <c r="R51" s="1"/>
  <c r="U19"/>
  <c r="N12" i="57"/>
  <c r="AI36" i="56"/>
  <c r="U48" s="1"/>
  <c r="AJ18"/>
  <c r="AJ19" s="1"/>
  <c r="AJ15" s="1"/>
  <c r="AJ12" s="1"/>
  <c r="AJ13" s="1"/>
  <c r="J37" s="1"/>
  <c r="P29" i="57"/>
  <c r="Q30"/>
  <c r="AJ12"/>
  <c r="AJ13" s="1"/>
  <c r="J37" s="1"/>
  <c r="J52" i="56"/>
  <c r="J33"/>
  <c r="AI47" i="57"/>
  <c r="D16" s="1"/>
  <c r="AI12"/>
  <c r="AI13" s="1"/>
  <c r="J22" s="1"/>
  <c r="T18" s="1"/>
  <c r="X18" s="1"/>
  <c r="U18"/>
  <c r="U19" s="1"/>
  <c r="Y19" s="1"/>
  <c r="AI34"/>
  <c r="D32" s="1"/>
  <c r="J34"/>
  <c r="AJ37"/>
  <c r="U49" s="1"/>
  <c r="AK38"/>
  <c r="U50" s="1"/>
  <c r="J52"/>
  <c r="J54"/>
  <c r="AK12"/>
  <c r="AK18" i="56"/>
  <c r="AK19" s="1"/>
  <c r="AK15" s="1"/>
  <c r="AK12" s="1"/>
  <c r="AI12"/>
  <c r="AI13" s="1"/>
  <c r="J22" s="1"/>
  <c r="T18" s="1"/>
  <c r="X18" s="1"/>
  <c r="U18"/>
  <c r="N12"/>
  <c r="AI46"/>
  <c r="J54"/>
  <c r="Q22" i="59" l="1"/>
  <c r="Q20"/>
  <c r="Q18"/>
  <c r="R18" s="1"/>
  <c r="S18" s="1"/>
  <c r="Z18" s="1"/>
  <c r="Q21"/>
  <c r="Q19"/>
  <c r="P29" i="56"/>
  <c r="Q29" s="1"/>
  <c r="P26" i="58"/>
  <c r="Q27"/>
  <c r="Y18" i="59"/>
  <c r="AQ58"/>
  <c r="AQ75" s="1"/>
  <c r="X18"/>
  <c r="T19"/>
  <c r="AQ59"/>
  <c r="Y19"/>
  <c r="U20"/>
  <c r="AK13"/>
  <c r="J55" s="1"/>
  <c r="U19" i="56"/>
  <c r="U20" s="1"/>
  <c r="AQ59" i="58"/>
  <c r="U20"/>
  <c r="Y19"/>
  <c r="AQ72"/>
  <c r="AQ67"/>
  <c r="AQ73"/>
  <c r="AQ63"/>
  <c r="AQ68"/>
  <c r="AQ74"/>
  <c r="AQ69"/>
  <c r="J23"/>
  <c r="AQ70"/>
  <c r="AQ64"/>
  <c r="AQ75"/>
  <c r="AQ65"/>
  <c r="AQ71"/>
  <c r="AQ66"/>
  <c r="T19"/>
  <c r="X18"/>
  <c r="J55"/>
  <c r="AK13"/>
  <c r="P28" i="57"/>
  <c r="Q29"/>
  <c r="AK38" i="56"/>
  <c r="U50" s="1"/>
  <c r="U20" i="57"/>
  <c r="U21" s="1"/>
  <c r="T19"/>
  <c r="X19" s="1"/>
  <c r="Y18"/>
  <c r="AQ58"/>
  <c r="AQ75" s="1"/>
  <c r="AQ59"/>
  <c r="AS75" s="1"/>
  <c r="AJ37" i="56"/>
  <c r="U49" s="1"/>
  <c r="J34"/>
  <c r="AK13" i="57"/>
  <c r="J55" s="1"/>
  <c r="Y18" i="56"/>
  <c r="AQ58"/>
  <c r="AQ65" s="1"/>
  <c r="T19"/>
  <c r="T20" s="1"/>
  <c r="Y19"/>
  <c r="AQ59"/>
  <c r="AK13"/>
  <c r="J55" s="1"/>
  <c r="D15"/>
  <c r="D24" s="1"/>
  <c r="R51" s="1"/>
  <c r="AI47"/>
  <c r="D16" s="1"/>
  <c r="AQ65" i="59" l="1"/>
  <c r="J23"/>
  <c r="AQ70"/>
  <c r="R19"/>
  <c r="S19" s="1"/>
  <c r="Z19" s="1"/>
  <c r="D60"/>
  <c r="AI39" s="1"/>
  <c r="U51" s="1"/>
  <c r="P28" i="56"/>
  <c r="Q28" s="1"/>
  <c r="P25" i="58"/>
  <c r="Q26"/>
  <c r="AQ71" i="59"/>
  <c r="AQ66"/>
  <c r="AQ74"/>
  <c r="AQ69"/>
  <c r="AQ72"/>
  <c r="AQ67"/>
  <c r="AQ64"/>
  <c r="AQ73"/>
  <c r="AQ68"/>
  <c r="AQ63"/>
  <c r="X19"/>
  <c r="T20"/>
  <c r="AS66"/>
  <c r="AS72"/>
  <c r="AS67"/>
  <c r="AS68"/>
  <c r="AS74"/>
  <c r="AS64"/>
  <c r="AS73"/>
  <c r="AS63"/>
  <c r="AS75"/>
  <c r="AS70"/>
  <c r="AS65"/>
  <c r="AS71"/>
  <c r="J38"/>
  <c r="AS69"/>
  <c r="U21"/>
  <c r="Y20"/>
  <c r="AS66" i="58"/>
  <c r="AS73"/>
  <c r="AS72"/>
  <c r="AS67"/>
  <c r="AS68"/>
  <c r="AS63"/>
  <c r="AS74"/>
  <c r="AS64"/>
  <c r="AS69"/>
  <c r="AS75"/>
  <c r="AS71"/>
  <c r="J38"/>
  <c r="AS70"/>
  <c r="AS65"/>
  <c r="Y20"/>
  <c r="U21"/>
  <c r="T20"/>
  <c r="X19"/>
  <c r="AS67" i="57"/>
  <c r="AS65"/>
  <c r="AQ76" i="58"/>
  <c r="J24" s="1"/>
  <c r="AI41" s="1"/>
  <c r="J26" s="1"/>
  <c r="AS70" i="57"/>
  <c r="AS71"/>
  <c r="AQ73"/>
  <c r="AQ68"/>
  <c r="AQ65"/>
  <c r="AQ71"/>
  <c r="Q28"/>
  <c r="P27"/>
  <c r="AS73"/>
  <c r="AS69"/>
  <c r="AQ70"/>
  <c r="AS68"/>
  <c r="Y20"/>
  <c r="AS66"/>
  <c r="T20"/>
  <c r="AQ74"/>
  <c r="AS64"/>
  <c r="J38"/>
  <c r="AS63"/>
  <c r="AQ69"/>
  <c r="AQ72"/>
  <c r="AQ67"/>
  <c r="AQ64"/>
  <c r="AS74"/>
  <c r="AQ66"/>
  <c r="AQ63"/>
  <c r="AS72"/>
  <c r="J23"/>
  <c r="X20"/>
  <c r="T21"/>
  <c r="Y21"/>
  <c r="U22"/>
  <c r="AQ63" i="56"/>
  <c r="AQ68"/>
  <c r="X19"/>
  <c r="AQ69"/>
  <c r="AQ66"/>
  <c r="AQ67"/>
  <c r="J23"/>
  <c r="AQ71"/>
  <c r="AQ75"/>
  <c r="AQ64"/>
  <c r="AQ73"/>
  <c r="AQ74"/>
  <c r="AQ72"/>
  <c r="AQ70"/>
  <c r="AS66"/>
  <c r="AS72"/>
  <c r="AS69"/>
  <c r="AS74"/>
  <c r="AS75"/>
  <c r="AS71"/>
  <c r="AS67"/>
  <c r="AS65"/>
  <c r="AS64"/>
  <c r="J38"/>
  <c r="AS73"/>
  <c r="AS63"/>
  <c r="AS70"/>
  <c r="AS68"/>
  <c r="X20"/>
  <c r="T21"/>
  <c r="Y20"/>
  <c r="U21"/>
  <c r="AQ76" i="59" l="1"/>
  <c r="J24" s="1"/>
  <c r="AI41" s="1"/>
  <c r="J26" s="1"/>
  <c r="R20"/>
  <c r="R21" s="1"/>
  <c r="D61"/>
  <c r="P27" i="56"/>
  <c r="P26" s="1"/>
  <c r="P24" i="58"/>
  <c r="Q25"/>
  <c r="Y21" i="59"/>
  <c r="U22"/>
  <c r="X20"/>
  <c r="T21"/>
  <c r="AS76"/>
  <c r="J40" s="1"/>
  <c r="AI42" s="1"/>
  <c r="J43" s="1"/>
  <c r="Y21" i="58"/>
  <c r="U22"/>
  <c r="T21"/>
  <c r="X20"/>
  <c r="AS76"/>
  <c r="J40" s="1"/>
  <c r="AI42" s="1"/>
  <c r="J43" s="1"/>
  <c r="AQ76" i="57"/>
  <c r="J24" s="1"/>
  <c r="AI41" s="1"/>
  <c r="J26" s="1"/>
  <c r="P26"/>
  <c r="Q27"/>
  <c r="AS76"/>
  <c r="J40" s="1"/>
  <c r="AI42" s="1"/>
  <c r="J43" s="1"/>
  <c r="T22"/>
  <c r="X21"/>
  <c r="Y22"/>
  <c r="U23"/>
  <c r="AQ76" i="56"/>
  <c r="J24" s="1"/>
  <c r="AI41" s="1"/>
  <c r="J26" s="1"/>
  <c r="T22"/>
  <c r="X21"/>
  <c r="Y21"/>
  <c r="U22"/>
  <c r="AS76"/>
  <c r="J40" s="1"/>
  <c r="AI42" s="1"/>
  <c r="J43" s="1"/>
  <c r="S20" i="59" l="1"/>
  <c r="Z20" s="1"/>
  <c r="Q27" i="56"/>
  <c r="P23" i="58"/>
  <c r="Q24"/>
  <c r="S21" i="59"/>
  <c r="R22"/>
  <c r="Y22"/>
  <c r="U23"/>
  <c r="T22"/>
  <c r="X21"/>
  <c r="Y22" i="58"/>
  <c r="U23"/>
  <c r="T22"/>
  <c r="X21"/>
  <c r="P25" i="56"/>
  <c r="Q26"/>
  <c r="P25" i="57"/>
  <c r="Q26"/>
  <c r="Y23"/>
  <c r="U24"/>
  <c r="T23"/>
  <c r="X22"/>
  <c r="X22" i="56"/>
  <c r="T23"/>
  <c r="Y22"/>
  <c r="U23"/>
  <c r="Z21" i="59" l="1"/>
  <c r="P22" i="58"/>
  <c r="Q23"/>
  <c r="S22" i="59"/>
  <c r="Z22" s="1"/>
  <c r="R23"/>
  <c r="Y23"/>
  <c r="U24"/>
  <c r="T23"/>
  <c r="X22"/>
  <c r="Y23" i="58"/>
  <c r="U24"/>
  <c r="X22"/>
  <c r="T23"/>
  <c r="P24" i="56"/>
  <c r="Q25"/>
  <c r="P24" i="57"/>
  <c r="Q25"/>
  <c r="Y24"/>
  <c r="U25"/>
  <c r="X23"/>
  <c r="T24"/>
  <c r="X23" i="56"/>
  <c r="T24"/>
  <c r="Y23"/>
  <c r="U24"/>
  <c r="P21" i="58" l="1"/>
  <c r="Q22"/>
  <c r="S23" i="59"/>
  <c r="Z23" s="1"/>
  <c r="R24"/>
  <c r="T24"/>
  <c r="X23"/>
  <c r="Y24"/>
  <c r="U25"/>
  <c r="Y24" i="58"/>
  <c r="U25"/>
  <c r="X23"/>
  <c r="T24"/>
  <c r="P23" i="56"/>
  <c r="Q24"/>
  <c r="P23" i="57"/>
  <c r="Q24"/>
  <c r="Y25"/>
  <c r="U26"/>
  <c r="X24"/>
  <c r="T25"/>
  <c r="Y24" i="56"/>
  <c r="U25"/>
  <c r="T25"/>
  <c r="X24"/>
  <c r="P20" i="58" l="1"/>
  <c r="Q21"/>
  <c r="R25" i="59"/>
  <c r="S24"/>
  <c r="Z24" s="1"/>
  <c r="Y25"/>
  <c r="U26"/>
  <c r="X24"/>
  <c r="T25"/>
  <c r="Y25" i="58"/>
  <c r="U26"/>
  <c r="X24"/>
  <c r="T25"/>
  <c r="P22" i="56"/>
  <c r="Q23"/>
  <c r="P22" i="57"/>
  <c r="Q23"/>
  <c r="Y26"/>
  <c r="U27"/>
  <c r="X25"/>
  <c r="T26"/>
  <c r="T26" i="56"/>
  <c r="X25"/>
  <c r="Y25"/>
  <c r="U26"/>
  <c r="Q20" i="58" l="1"/>
  <c r="P19"/>
  <c r="S25" i="59"/>
  <c r="Z25" s="1"/>
  <c r="R26"/>
  <c r="U27"/>
  <c r="Y27" s="1"/>
  <c r="Y46" s="1"/>
  <c r="Y26"/>
  <c r="X25"/>
  <c r="T26"/>
  <c r="Y26" i="58"/>
  <c r="U27"/>
  <c r="T26"/>
  <c r="X25"/>
  <c r="P21" i="56"/>
  <c r="Q22"/>
  <c r="P21" i="57"/>
  <c r="Q22"/>
  <c r="Y27"/>
  <c r="U28"/>
  <c r="T27"/>
  <c r="X26"/>
  <c r="X26" i="56"/>
  <c r="T27"/>
  <c r="Y26"/>
  <c r="U27"/>
  <c r="P18" i="58" l="1"/>
  <c r="Q19"/>
  <c r="R27" i="59"/>
  <c r="S27" s="1"/>
  <c r="S26"/>
  <c r="Z26" s="1"/>
  <c r="AQ60"/>
  <c r="D59"/>
  <c r="T27"/>
  <c r="X27" s="1"/>
  <c r="X46" s="1"/>
  <c r="D58" s="1"/>
  <c r="AI40" s="1"/>
  <c r="U52" s="1"/>
  <c r="X26"/>
  <c r="Y27" i="58"/>
  <c r="U28"/>
  <c r="T27"/>
  <c r="X26"/>
  <c r="P20" i="56"/>
  <c r="Q21"/>
  <c r="Y28" i="57"/>
  <c r="U29"/>
  <c r="P20"/>
  <c r="Q21"/>
  <c r="X27"/>
  <c r="T28"/>
  <c r="X27" i="56"/>
  <c r="T28"/>
  <c r="Y27"/>
  <c r="U28"/>
  <c r="D56" i="58" l="1"/>
  <c r="Q18"/>
  <c r="Z27" i="59"/>
  <c r="Z46" s="1"/>
  <c r="AU71"/>
  <c r="AU66"/>
  <c r="AU72"/>
  <c r="AU67"/>
  <c r="AU73"/>
  <c r="AU68"/>
  <c r="AQ61"/>
  <c r="J56" s="1"/>
  <c r="AU63"/>
  <c r="AU74"/>
  <c r="AU64"/>
  <c r="J39"/>
  <c r="AU75"/>
  <c r="AU70"/>
  <c r="AU65"/>
  <c r="AU69"/>
  <c r="T28" i="58"/>
  <c r="X27"/>
  <c r="Y28"/>
  <c r="U29"/>
  <c r="P19" i="56"/>
  <c r="Q20"/>
  <c r="P19" i="57"/>
  <c r="Q20"/>
  <c r="U30"/>
  <c r="Y30" s="1"/>
  <c r="Y29"/>
  <c r="X28"/>
  <c r="T29"/>
  <c r="X28" i="56"/>
  <c r="T29"/>
  <c r="Y28"/>
  <c r="U29"/>
  <c r="R18" i="58" l="1"/>
  <c r="D60"/>
  <c r="AU76" i="59"/>
  <c r="R29" i="58"/>
  <c r="X28"/>
  <c r="T29"/>
  <c r="Y29"/>
  <c r="U30"/>
  <c r="Y30" s="1"/>
  <c r="P18" i="56"/>
  <c r="Q19"/>
  <c r="X29" i="57"/>
  <c r="T30"/>
  <c r="X30" s="1"/>
  <c r="P18"/>
  <c r="Q19"/>
  <c r="Y46"/>
  <c r="X29" i="56"/>
  <c r="T30"/>
  <c r="Y29"/>
  <c r="U30"/>
  <c r="X30" l="1"/>
  <c r="X46" s="1"/>
  <c r="D58" s="1"/>
  <c r="AI40" s="1"/>
  <c r="U52" s="1"/>
  <c r="T31"/>
  <c r="X31" s="1"/>
  <c r="Y30"/>
  <c r="Y46" s="1"/>
  <c r="U31"/>
  <c r="Y31" s="1"/>
  <c r="AI39" i="58"/>
  <c r="U51" s="1"/>
  <c r="D61"/>
  <c r="S18"/>
  <c r="Z18" s="1"/>
  <c r="R19"/>
  <c r="J41" i="59"/>
  <c r="AI43" s="1"/>
  <c r="J44" s="1"/>
  <c r="J57"/>
  <c r="AI44" s="1"/>
  <c r="J59" s="1"/>
  <c r="S29" i="58"/>
  <c r="Z29" s="1"/>
  <c r="R30"/>
  <c r="S30" s="1"/>
  <c r="Y46"/>
  <c r="D59" s="1"/>
  <c r="T30"/>
  <c r="X30" s="1"/>
  <c r="X46" s="1"/>
  <c r="D58" s="1"/>
  <c r="AI40" s="1"/>
  <c r="U52" s="1"/>
  <c r="X29"/>
  <c r="D56" i="56"/>
  <c r="Q18"/>
  <c r="D56" i="57"/>
  <c r="Q18"/>
  <c r="D59"/>
  <c r="AQ60"/>
  <c r="X46"/>
  <c r="D58" s="1"/>
  <c r="AI40" s="1"/>
  <c r="U52" s="1"/>
  <c r="S19" i="58" l="1"/>
  <c r="Z19" s="1"/>
  <c r="R20"/>
  <c r="Z30"/>
  <c r="AQ60"/>
  <c r="AU65" s="1"/>
  <c r="R18" i="56"/>
  <c r="D60"/>
  <c r="AQ60"/>
  <c r="AU75" s="1"/>
  <c r="D60" i="57"/>
  <c r="R18"/>
  <c r="AU68"/>
  <c r="J39"/>
  <c r="AU73"/>
  <c r="AU65"/>
  <c r="AU70"/>
  <c r="AU67"/>
  <c r="AU74"/>
  <c r="AU75"/>
  <c r="AU71"/>
  <c r="AU66"/>
  <c r="AU69"/>
  <c r="AU63"/>
  <c r="AU64"/>
  <c r="AU72"/>
  <c r="AQ61"/>
  <c r="J56" s="1"/>
  <c r="D59" i="56"/>
  <c r="S20" i="58" l="1"/>
  <c r="Z20" s="1"/>
  <c r="R21"/>
  <c r="AU64"/>
  <c r="AU71"/>
  <c r="AU74"/>
  <c r="AU68"/>
  <c r="J39"/>
  <c r="AU72"/>
  <c r="AU63"/>
  <c r="AU75"/>
  <c r="AU66"/>
  <c r="AU67"/>
  <c r="AU69"/>
  <c r="AU70"/>
  <c r="AQ61"/>
  <c r="J56" s="1"/>
  <c r="AU73"/>
  <c r="D61" i="56"/>
  <c r="AI39"/>
  <c r="U51" s="1"/>
  <c r="S18"/>
  <c r="Z18" s="1"/>
  <c r="R19"/>
  <c r="AU63"/>
  <c r="AU69"/>
  <c r="AU72"/>
  <c r="AU67"/>
  <c r="J39"/>
  <c r="AQ61"/>
  <c r="J56" s="1"/>
  <c r="AU73"/>
  <c r="AU64"/>
  <c r="AU68"/>
  <c r="AU71"/>
  <c r="AU70"/>
  <c r="AU65"/>
  <c r="AU66"/>
  <c r="AU74"/>
  <c r="S18" i="57"/>
  <c r="Z18" s="1"/>
  <c r="R19"/>
  <c r="AU76"/>
  <c r="AI39"/>
  <c r="U51" s="1"/>
  <c r="D61"/>
  <c r="S21" i="58" l="1"/>
  <c r="Z21" s="1"/>
  <c r="R22"/>
  <c r="AU76"/>
  <c r="J57" s="1"/>
  <c r="AI44" s="1"/>
  <c r="J59" s="1"/>
  <c r="R20" i="56"/>
  <c r="S19"/>
  <c r="Z19" s="1"/>
  <c r="AU76"/>
  <c r="J57" s="1"/>
  <c r="AI44" s="1"/>
  <c r="J59" s="1"/>
  <c r="R20" i="57"/>
  <c r="S19"/>
  <c r="Z19" s="1"/>
  <c r="J57"/>
  <c r="AI44" s="1"/>
  <c r="J59" s="1"/>
  <c r="J41"/>
  <c r="AI43" s="1"/>
  <c r="J44" s="1"/>
  <c r="F17" i="7"/>
  <c r="AI48" i="59" s="1"/>
  <c r="E17" i="7"/>
  <c r="D17"/>
  <c r="AI48" i="58" s="1"/>
  <c r="S22" l="1"/>
  <c r="Z22" s="1"/>
  <c r="R23"/>
  <c r="J41"/>
  <c r="AI43" s="1"/>
  <c r="J44" s="1"/>
  <c r="S20" i="56"/>
  <c r="Z20" s="1"/>
  <c r="R21"/>
  <c r="J41"/>
  <c r="AI43" s="1"/>
  <c r="J44" s="1"/>
  <c r="S20" i="57"/>
  <c r="Z20" s="1"/>
  <c r="R21"/>
  <c r="AI48" i="56"/>
  <c r="AI48" i="57"/>
  <c r="D19" i="38"/>
  <c r="C9"/>
  <c r="C8"/>
  <c r="C7"/>
  <c r="C6"/>
  <c r="G5"/>
  <c r="C5"/>
  <c r="G4"/>
  <c r="A4"/>
  <c r="S23" i="58" l="1"/>
  <c r="Z23" s="1"/>
  <c r="R24"/>
  <c r="S21" i="56"/>
  <c r="Z21" s="1"/>
  <c r="R22"/>
  <c r="R22" i="57"/>
  <c r="S21"/>
  <c r="Z21" s="1"/>
  <c r="S24" i="58" l="1"/>
  <c r="Z24" s="1"/>
  <c r="R25"/>
  <c r="S22" i="56"/>
  <c r="Z22" s="1"/>
  <c r="R23"/>
  <c r="S22" i="57"/>
  <c r="Z22" s="1"/>
  <c r="R23"/>
  <c r="R26" i="58" l="1"/>
  <c r="S25"/>
  <c r="Z25" s="1"/>
  <c r="S23" i="56"/>
  <c r="Z23" s="1"/>
  <c r="R24"/>
  <c r="S23" i="57"/>
  <c r="Z23" s="1"/>
  <c r="R24"/>
  <c r="S26" i="58" l="1"/>
  <c r="Z26" s="1"/>
  <c r="R27"/>
  <c r="R25" i="56"/>
  <c r="S24"/>
  <c r="Z24" s="1"/>
  <c r="R25" i="57"/>
  <c r="S24"/>
  <c r="Z24" s="1"/>
  <c r="S27" i="58" l="1"/>
  <c r="Z27" s="1"/>
  <c r="R28"/>
  <c r="S28" s="1"/>
  <c r="R26" i="56"/>
  <c r="S25"/>
  <c r="Z25" s="1"/>
  <c r="R26" i="57"/>
  <c r="S25"/>
  <c r="Z25" s="1"/>
  <c r="Z28" i="58" l="1"/>
  <c r="Z46" s="1"/>
  <c r="S26" i="56"/>
  <c r="Z26" s="1"/>
  <c r="R27"/>
  <c r="S26" i="57"/>
  <c r="Z26" s="1"/>
  <c r="R27"/>
  <c r="R28" i="56" l="1"/>
  <c r="S27"/>
  <c r="Z27" s="1"/>
  <c r="S27" i="57"/>
  <c r="Z27" s="1"/>
  <c r="R28"/>
  <c r="S28" i="56" l="1"/>
  <c r="Z28" s="1"/>
  <c r="R29"/>
  <c r="S28" i="57"/>
  <c r="Z28" s="1"/>
  <c r="R29"/>
  <c r="S29" i="56" l="1"/>
  <c r="Z29" s="1"/>
  <c r="R30"/>
  <c r="R30" i="57"/>
  <c r="S30" s="1"/>
  <c r="Z30" s="1"/>
  <c r="Z46" s="1"/>
  <c r="S29"/>
  <c r="Z29" s="1"/>
  <c r="S30" i="56" l="1"/>
  <c r="Z30" s="1"/>
  <c r="R31"/>
  <c r="S31" s="1"/>
  <c r="Z31" l="1"/>
  <c r="Z46" s="1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J15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J16" authorId="0">
      <text>
        <r>
          <rPr>
            <sz val="9"/>
            <color indexed="81"/>
            <rFont val="Tahoma"/>
            <family val="2"/>
          </rPr>
          <t>Enter:
2.50
4.00
6.00</t>
        </r>
      </text>
    </comment>
    <comment ref="J17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  <comment ref="D30" authorId="0">
      <text>
        <r>
          <rPr>
            <sz val="9"/>
            <color indexed="81"/>
            <rFont val="Tahoma"/>
            <family val="2"/>
          </rPr>
          <t>Enter:
B
C
D</t>
        </r>
      </text>
    </comment>
    <comment ref="J30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D31" authorId="0">
      <text>
        <r>
          <rPr>
            <sz val="9"/>
            <color indexed="81"/>
            <rFont val="Tahoma"/>
            <family val="2"/>
          </rPr>
          <t>Enter:
BS7671
ABB
Hager
Schneider</t>
        </r>
      </text>
    </comment>
    <comment ref="J31" authorId="0">
      <text>
        <r>
          <rPr>
            <sz val="9"/>
            <color indexed="81"/>
            <rFont val="Tahoma"/>
            <family val="2"/>
          </rPr>
          <t>Enter:
1.50
2.50
4.00</t>
        </r>
      </text>
    </comment>
    <comment ref="J32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  <comment ref="J48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J49" authorId="0">
      <text>
        <r>
          <rPr>
            <sz val="9"/>
            <color indexed="81"/>
            <rFont val="Tahoma"/>
            <family val="2"/>
          </rPr>
          <t>Enter:
1.50
2.50
4.00</t>
        </r>
      </text>
    </comment>
    <comment ref="J50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</commentList>
</comments>
</file>

<file path=xl/comments2.xml><?xml version="1.0" encoding="utf-8"?>
<comments xmlns="http://schemas.openxmlformats.org/spreadsheetml/2006/main">
  <authors>
    <author>A satisfied Microsoft Office user</author>
  </authors>
  <commentList>
    <comment ref="J15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J16" authorId="0">
      <text>
        <r>
          <rPr>
            <sz val="9"/>
            <color indexed="81"/>
            <rFont val="Tahoma"/>
            <family val="2"/>
          </rPr>
          <t>Enter:
2.50
4.00
6.00</t>
        </r>
      </text>
    </comment>
    <comment ref="J17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  <comment ref="D30" authorId="0">
      <text>
        <r>
          <rPr>
            <sz val="9"/>
            <color indexed="81"/>
            <rFont val="Tahoma"/>
            <family val="2"/>
          </rPr>
          <t>Enter:
B
C
D</t>
        </r>
      </text>
    </comment>
    <comment ref="J30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D31" authorId="0">
      <text>
        <r>
          <rPr>
            <sz val="9"/>
            <color indexed="81"/>
            <rFont val="Tahoma"/>
            <family val="2"/>
          </rPr>
          <t>Enter:
BS7671
ABB
Hager
Schneider</t>
        </r>
      </text>
    </comment>
    <comment ref="J31" authorId="0">
      <text>
        <r>
          <rPr>
            <sz val="9"/>
            <color indexed="81"/>
            <rFont val="Tahoma"/>
            <family val="2"/>
          </rPr>
          <t>Enter:
1.50
2.50
4.00</t>
        </r>
      </text>
    </comment>
    <comment ref="J32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  <comment ref="J48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J49" authorId="0">
      <text>
        <r>
          <rPr>
            <sz val="9"/>
            <color indexed="81"/>
            <rFont val="Tahoma"/>
            <family val="2"/>
          </rPr>
          <t>Enter:
1.50
2.50
4.00</t>
        </r>
      </text>
    </comment>
    <comment ref="J50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</commentList>
</comments>
</file>

<file path=xl/comments3.xml><?xml version="1.0" encoding="utf-8"?>
<comments xmlns="http://schemas.openxmlformats.org/spreadsheetml/2006/main">
  <authors>
    <author>A satisfied Microsoft Office user</author>
  </authors>
  <commentList>
    <comment ref="J15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J16" authorId="0">
      <text>
        <r>
          <rPr>
            <sz val="9"/>
            <color indexed="81"/>
            <rFont val="Tahoma"/>
            <family val="2"/>
          </rPr>
          <t>Enter:
2.50
4.00
6.00</t>
        </r>
      </text>
    </comment>
    <comment ref="J17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  <comment ref="D30" authorId="0">
      <text>
        <r>
          <rPr>
            <sz val="9"/>
            <color indexed="81"/>
            <rFont val="Tahoma"/>
            <family val="2"/>
          </rPr>
          <t>Enter:
B
C
D</t>
        </r>
      </text>
    </comment>
    <comment ref="J30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D31" authorId="0">
      <text>
        <r>
          <rPr>
            <sz val="9"/>
            <color indexed="81"/>
            <rFont val="Tahoma"/>
            <family val="2"/>
          </rPr>
          <t>Enter:
BS7671
ABB
Hager
Schneider</t>
        </r>
      </text>
    </comment>
    <comment ref="J31" authorId="0">
      <text>
        <r>
          <rPr>
            <sz val="9"/>
            <color indexed="81"/>
            <rFont val="Tahoma"/>
            <family val="2"/>
          </rPr>
          <t>Enter:
1.50
2.50
4.00</t>
        </r>
      </text>
    </comment>
    <comment ref="J32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  <comment ref="J48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J49" authorId="0">
      <text>
        <r>
          <rPr>
            <sz val="9"/>
            <color indexed="81"/>
            <rFont val="Tahoma"/>
            <family val="2"/>
          </rPr>
          <t>Enter:
1.50
2.50
4.00</t>
        </r>
      </text>
    </comment>
    <comment ref="J50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</commentList>
</comments>
</file>

<file path=xl/comments4.xml><?xml version="1.0" encoding="utf-8"?>
<comments xmlns="http://schemas.openxmlformats.org/spreadsheetml/2006/main">
  <authors>
    <author>A satisfied Microsoft Office user</author>
  </authors>
  <commentList>
    <comment ref="J15" authorId="0">
      <text>
        <r>
          <rPr>
            <sz val="9"/>
            <color indexed="81"/>
            <rFont val="Tahoma"/>
            <family val="2"/>
          </rPr>
          <t xml:space="preserve">Enter nº of circuits at MDB (max = 9).  This value MUST include all spare capacity.
</t>
        </r>
      </text>
    </comment>
    <comment ref="J16" authorId="0">
      <text>
        <r>
          <rPr>
            <sz val="9"/>
            <color indexed="81"/>
            <rFont val="Tahoma"/>
            <family val="2"/>
          </rPr>
          <t>Enter:
2.50
4.00
6.00</t>
        </r>
      </text>
    </comment>
    <comment ref="J17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  <comment ref="D30" authorId="0">
      <text>
        <r>
          <rPr>
            <sz val="9"/>
            <color indexed="81"/>
            <rFont val="Tahoma"/>
            <family val="2"/>
          </rPr>
          <t>Enter:
B
C
D</t>
        </r>
      </text>
    </comment>
    <comment ref="J30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D31" authorId="0">
      <text>
        <r>
          <rPr>
            <sz val="9"/>
            <color indexed="81"/>
            <rFont val="Tahoma"/>
            <family val="2"/>
          </rPr>
          <t>Enter:
BS7671
ABB
Hager
Schneider</t>
        </r>
      </text>
    </comment>
    <comment ref="J31" authorId="0">
      <text>
        <r>
          <rPr>
            <sz val="9"/>
            <color indexed="81"/>
            <rFont val="Tahoma"/>
            <family val="2"/>
          </rPr>
          <t>Enter:
1.50
2.50
4.00</t>
        </r>
      </text>
    </comment>
    <comment ref="J32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  <comment ref="J48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J49" authorId="0">
      <text>
        <r>
          <rPr>
            <sz val="9"/>
            <color indexed="81"/>
            <rFont val="Tahoma"/>
            <family val="2"/>
          </rPr>
          <t>Enter:
1.50
2.50
4.00</t>
        </r>
      </text>
    </comment>
    <comment ref="J50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</commentList>
</comments>
</file>

<file path=xl/sharedStrings.xml><?xml version="1.0" encoding="utf-8"?>
<sst xmlns="http://schemas.openxmlformats.org/spreadsheetml/2006/main" count="1399" uniqueCount="262">
  <si>
    <t>Tabulated Zs Figures for 5 Second Disconnection Time</t>
  </si>
  <si>
    <t>Tabulated Zs Figures for 0.4 Second Disconnection Time</t>
  </si>
  <si>
    <r>
      <t>I</t>
    </r>
    <r>
      <rPr>
        <vertAlign val="subscript"/>
        <sz val="12"/>
        <rFont val="Verdana"/>
        <family val="2"/>
      </rPr>
      <t>n</t>
    </r>
  </si>
  <si>
    <t>Type</t>
  </si>
  <si>
    <t>BS 7671</t>
  </si>
  <si>
    <t>ABB</t>
  </si>
  <si>
    <t>Crabtree</t>
  </si>
  <si>
    <t>Dorman</t>
  </si>
  <si>
    <t>Hager</t>
  </si>
  <si>
    <t>MEM</t>
  </si>
  <si>
    <t>Schneider</t>
  </si>
  <si>
    <t>Siemens</t>
  </si>
  <si>
    <t>Square D</t>
  </si>
  <si>
    <t>CIRCUIT  CALCULATION  SHEET:</t>
  </si>
  <si>
    <t>Prepared By:</t>
  </si>
  <si>
    <t>Short-Circuit Withstand</t>
  </si>
  <si>
    <t>Project Name:</t>
  </si>
  <si>
    <t>Service:</t>
  </si>
  <si>
    <t>Date Prepared:</t>
  </si>
  <si>
    <t>Is Ipsc trip time &gt; 0.1s</t>
  </si>
  <si>
    <t>6A</t>
  </si>
  <si>
    <t>B</t>
  </si>
  <si>
    <t>Project Nº:</t>
  </si>
  <si>
    <t>DB Ref:</t>
  </si>
  <si>
    <t>Revision:</t>
  </si>
  <si>
    <t>If YES, then I²S² from ABB required</t>
  </si>
  <si>
    <t>HOMERUN</t>
  </si>
  <si>
    <t>EXTENDER</t>
  </si>
  <si>
    <t>SERVICE DROP</t>
  </si>
  <si>
    <t>"</t>
  </si>
  <si>
    <t>C</t>
  </si>
  <si>
    <t>Area/Zone/Level:</t>
  </si>
  <si>
    <t>MDB Nº:</t>
  </si>
  <si>
    <t>Checked By:</t>
  </si>
  <si>
    <t>K²S²&gt;A²s</t>
  </si>
  <si>
    <t>It (Tab):</t>
  </si>
  <si>
    <t>D</t>
  </si>
  <si>
    <t>Drawing Nº:</t>
  </si>
  <si>
    <t>Circuit Ref:</t>
  </si>
  <si>
    <t>Establish the typical range of A²s from ABB for the range of Ipsc</t>
  </si>
  <si>
    <t>10A</t>
  </si>
  <si>
    <t>Voltage Drop (Tab):</t>
  </si>
  <si>
    <t>RESULTS SUMMARY</t>
  </si>
  <si>
    <t>Nominal Voltage (V):</t>
  </si>
  <si>
    <t>V</t>
  </si>
  <si>
    <t>Voltage Drop:</t>
  </si>
  <si>
    <t>%</t>
  </si>
  <si>
    <t>Load:</t>
  </si>
  <si>
    <t>R@20²C (Tab):</t>
  </si>
  <si>
    <t>16A</t>
  </si>
  <si>
    <t>Homerun Cable Length:</t>
  </si>
  <si>
    <t>m</t>
  </si>
  <si>
    <t>Actual Voltage:</t>
  </si>
  <si>
    <t>Length:</t>
  </si>
  <si>
    <t>Max VD:</t>
  </si>
  <si>
    <t>Fault Current @ DB (Ipsc):</t>
  </si>
  <si>
    <t>A</t>
  </si>
  <si>
    <t>Zs:</t>
  </si>
  <si>
    <t>Final Voltage:</t>
  </si>
  <si>
    <t>Zinst_PHASE:</t>
  </si>
  <si>
    <t>Disconnection Time:</t>
  </si>
  <si>
    <t>s</t>
  </si>
  <si>
    <t>External  P/E Loop (Ze):</t>
  </si>
  <si>
    <t>Ω</t>
  </si>
  <si>
    <t>Ipsc:</t>
  </si>
  <si>
    <t>Zinst_CPC:</t>
  </si>
  <si>
    <t>20A</t>
  </si>
  <si>
    <t>CIRCUIT PROTECTIVE DEVICE (CPD):</t>
  </si>
  <si>
    <t>CABLE</t>
  </si>
  <si>
    <t>LENGTH</t>
  </si>
  <si>
    <t>LOAD (A)</t>
  </si>
  <si>
    <t>VOLTAGE DROP (V)</t>
  </si>
  <si>
    <t>Zs</t>
  </si>
  <si>
    <t>Ipsc</t>
  </si>
  <si>
    <t>CPD_R_Factor:</t>
  </si>
  <si>
    <t>Rating (In):</t>
  </si>
  <si>
    <t>TYPE</t>
  </si>
  <si>
    <t>LEG</t>
  </si>
  <si>
    <t>Metres</t>
  </si>
  <si>
    <t>Per Leg</t>
  </si>
  <si>
    <t>Total</t>
  </si>
  <si>
    <t>(A)</t>
  </si>
  <si>
    <t>%VoltDrop</t>
  </si>
  <si>
    <t>25A</t>
  </si>
  <si>
    <t>Type (MCB Only):</t>
  </si>
  <si>
    <t>Home Run</t>
  </si>
  <si>
    <t>-</t>
  </si>
  <si>
    <t>Ambient T (IEE GN5 Table B1):</t>
  </si>
  <si>
    <t>Manufacturer:</t>
  </si>
  <si>
    <t>Temp Factor F (IEE GN5 Table B2):</t>
  </si>
  <si>
    <t>Tabulated Zs:</t>
  </si>
  <si>
    <t>Total Factor:</t>
  </si>
  <si>
    <t>32A</t>
  </si>
  <si>
    <t>Nº of Circuits per MDB:</t>
  </si>
  <si>
    <t>Insulation Working Temp (tp):</t>
  </si>
  <si>
    <t>°c</t>
  </si>
  <si>
    <t>CSA:</t>
  </si>
  <si>
    <t>mm²</t>
  </si>
  <si>
    <t>Insulation Final Limit Temp:</t>
  </si>
  <si>
    <t>Insulation:</t>
  </si>
  <si>
    <t>XL-LSFZH</t>
  </si>
  <si>
    <t>Rating (It):</t>
  </si>
  <si>
    <t>Grouping Factor:</t>
  </si>
  <si>
    <t>Volt Drop (R):</t>
  </si>
  <si>
    <t>mV/A/m</t>
  </si>
  <si>
    <t>R @ 20°c:</t>
  </si>
  <si>
    <t>Ω/kM</t>
  </si>
  <si>
    <t>Cg:</t>
  </si>
  <si>
    <t>Phase-Earth Loop Impedance:</t>
  </si>
  <si>
    <r>
      <t xml:space="preserve">It </t>
    </r>
    <r>
      <rPr>
        <b/>
        <sz val="8"/>
        <rFont val="Arial"/>
        <family val="2"/>
      </rPr>
      <t>≥</t>
    </r>
  </si>
  <si>
    <t>I²t or A²s:</t>
  </si>
  <si>
    <t>K²S²:</t>
  </si>
  <si>
    <t>CPD:</t>
  </si>
  <si>
    <t>K²S²&gt;I²t or A²s:</t>
  </si>
  <si>
    <t>5 Sec</t>
  </si>
  <si>
    <t>0.4 Sec</t>
  </si>
  <si>
    <t>KEY:</t>
  </si>
  <si>
    <t>CIRCUIT CHECK:</t>
  </si>
  <si>
    <t>OK</t>
  </si>
  <si>
    <t>Nº of Circuits/Cables:</t>
  </si>
  <si>
    <t>Homerun Overload Protection:</t>
  </si>
  <si>
    <t>CPD</t>
  </si>
  <si>
    <t>Extender Overload Protection:</t>
  </si>
  <si>
    <t>Pass/Fail MDB Cg:</t>
  </si>
  <si>
    <t>SD/RL Overload Protection:</t>
  </si>
  <si>
    <t>Pass/Fail Extender Cg:</t>
  </si>
  <si>
    <t>Pass/Fail SD Cg:</t>
  </si>
  <si>
    <t>Calculated Zs less than Tab Zs:</t>
  </si>
  <si>
    <t>Pass/Fail VD:</t>
  </si>
  <si>
    <t>ü</t>
  </si>
  <si>
    <t>NOTES:</t>
  </si>
  <si>
    <t>Pass/Fail Zs:</t>
  </si>
  <si>
    <t>û</t>
  </si>
  <si>
    <t>20A Type C</t>
  </si>
  <si>
    <t>10A Type C</t>
  </si>
  <si>
    <t>1.  Based upon Ambient Temperature of 30°C.</t>
  </si>
  <si>
    <t>Pass/Fail Home-Run Ipsc:</t>
  </si>
  <si>
    <t>A²s</t>
  </si>
  <si>
    <t>Ipsc Max:</t>
  </si>
  <si>
    <t>Pass/Fail Extender Max Ipsc:</t>
  </si>
  <si>
    <t>Ipsc Min:</t>
  </si>
  <si>
    <t>3.  Ipsc vaule @ source based upon Transformer Supply (max figure).</t>
  </si>
  <si>
    <t>Pass/Fail Extender Min Ipsc:</t>
  </si>
  <si>
    <t>I²t or A²s Max:</t>
  </si>
  <si>
    <t>Pass/Fail SD Ipsc:</t>
  </si>
  <si>
    <t>I²t or A²s Min:</t>
  </si>
  <si>
    <t>K²S²&gt;I²t or A²s Max:</t>
  </si>
  <si>
    <t>K²S²&gt;I²t or A²s Min:</t>
  </si>
  <si>
    <t>LSFZH</t>
  </si>
  <si>
    <t>Home-Run:</t>
  </si>
  <si>
    <t>Extender Max:</t>
  </si>
  <si>
    <t>Extender Min:</t>
  </si>
  <si>
    <t>SD:</t>
  </si>
  <si>
    <t>Home-Run</t>
  </si>
  <si>
    <t>Extender Max</t>
  </si>
  <si>
    <t>Extender Min</t>
  </si>
  <si>
    <t>Value:</t>
  </si>
  <si>
    <r>
      <t>(</t>
    </r>
    <r>
      <rPr>
        <sz val="8"/>
        <rFont val="Symbol"/>
        <family val="1"/>
        <charset val="2"/>
      </rPr>
      <t>W</t>
    </r>
    <r>
      <rPr>
        <sz val="8"/>
        <rFont val="Verdana"/>
        <family val="2"/>
      </rPr>
      <t>)</t>
    </r>
  </si>
  <si>
    <t>CIRCUIT INPUT DATA:</t>
  </si>
  <si>
    <t>Thermal Withstand Model</t>
  </si>
  <si>
    <t>Date:</t>
  </si>
  <si>
    <t>By:</t>
  </si>
  <si>
    <t>Cable Calculation Index</t>
  </si>
  <si>
    <t>MDB Nº</t>
  </si>
  <si>
    <t>Notes:</t>
  </si>
  <si>
    <t>1.</t>
  </si>
  <si>
    <t>Where conntection points/outlets are located within the Ceiling Void (CV), no Service Drop (SD) is shown.</t>
  </si>
  <si>
    <t>Nominal Voltage:</t>
  </si>
  <si>
    <t>Max Volt Drop:</t>
  </si>
  <si>
    <t>Ref</t>
  </si>
  <si>
    <t>Lamp Rating</t>
  </si>
  <si>
    <t>QTY                  Lamps</t>
  </si>
  <si>
    <t>Total Load</t>
  </si>
  <si>
    <t>L1</t>
  </si>
  <si>
    <t>L2</t>
  </si>
  <si>
    <t>L3</t>
  </si>
  <si>
    <t>N</t>
  </si>
  <si>
    <t>P</t>
  </si>
  <si>
    <t>Q</t>
  </si>
  <si>
    <t>R</t>
  </si>
  <si>
    <t>Lighting</t>
  </si>
  <si>
    <t>N Holmes</t>
  </si>
  <si>
    <t>2.  Zs vaule @ source based upon Transfomrer Supply.</t>
  </si>
  <si>
    <t>4.  Thermal-Withstand current levels taken at MDB, end of 1st Extender &amp; end of circuit leg.</t>
  </si>
  <si>
    <r>
      <t>D</t>
    </r>
    <r>
      <rPr>
        <sz val="8"/>
        <rFont val="Verdana"/>
        <family val="2"/>
      </rPr>
      <t xml:space="preserve"> = Service or Switch Drop</t>
    </r>
  </si>
  <si>
    <t>Distribution Board Data</t>
  </si>
  <si>
    <t>Ipsc (Max):</t>
  </si>
  <si>
    <t>Ipsc (Min):</t>
  </si>
  <si>
    <t>Supply Voltage Drop:</t>
  </si>
  <si>
    <t>HOMERUN CABLE:</t>
  </si>
  <si>
    <t>DISTRIBUTION BOARD:</t>
  </si>
  <si>
    <t>CIRCUIT DESIGN:</t>
  </si>
  <si>
    <t>SERVICE DROP CABLE:</t>
  </si>
  <si>
    <t xml:space="preserve"> Circuit Ref</t>
  </si>
  <si>
    <t>Legs</t>
  </si>
  <si>
    <r>
      <t>A</t>
    </r>
    <r>
      <rPr>
        <sz val="8"/>
        <rFont val="Verdana"/>
        <family val="2"/>
      </rPr>
      <t xml:space="preserve"> = Armoured Extender Cable </t>
    </r>
    <r>
      <rPr>
        <b/>
        <sz val="8"/>
        <rFont val="Verdana"/>
        <family val="2"/>
      </rPr>
      <t/>
    </r>
  </si>
  <si>
    <r>
      <t>U</t>
    </r>
    <r>
      <rPr>
        <sz val="8"/>
        <rFont val="Verdana"/>
        <family val="2"/>
      </rPr>
      <t xml:space="preserve"> = Armoured Extender Cable </t>
    </r>
  </si>
  <si>
    <r>
      <t>F</t>
    </r>
    <r>
      <rPr>
        <sz val="8"/>
        <rFont val="Verdana"/>
        <family val="2"/>
      </rPr>
      <t xml:space="preserve"> = Flying Lead</t>
    </r>
  </si>
  <si>
    <r>
      <t>S</t>
    </r>
    <r>
      <rPr>
        <sz val="8"/>
        <rFont val="Verdana"/>
        <family val="2"/>
      </rPr>
      <t xml:space="preserve"> = Splitter/Tee</t>
    </r>
  </si>
  <si>
    <t>F</t>
  </si>
  <si>
    <t>ARMOURED EXTENDER CABLE:</t>
  </si>
  <si>
    <t>SWITCH DROP/UN-ARMOURED CABLE:</t>
  </si>
  <si>
    <t>U</t>
  </si>
  <si>
    <t>Fife New Hospital-Joint Venture</t>
  </si>
  <si>
    <t>Fife-JV</t>
  </si>
  <si>
    <t>Level 00 - DB Zone E1|0|BL</t>
  </si>
  <si>
    <t>Operating Temperature (tp):</t>
  </si>
  <si>
    <t>°</t>
  </si>
  <si>
    <t>G</t>
  </si>
  <si>
    <t>H1</t>
  </si>
  <si>
    <t>H2</t>
  </si>
  <si>
    <t>J</t>
  </si>
  <si>
    <t>K</t>
  </si>
  <si>
    <t>L</t>
  </si>
  <si>
    <t>M</t>
  </si>
  <si>
    <t>S</t>
  </si>
  <si>
    <t>P1</t>
  </si>
  <si>
    <t>W1</t>
  </si>
  <si>
    <t>W2</t>
  </si>
  <si>
    <t>EX</t>
  </si>
  <si>
    <t>EM</t>
  </si>
  <si>
    <t>2+1</t>
  </si>
  <si>
    <t>W3</t>
  </si>
  <si>
    <t>Y</t>
  </si>
  <si>
    <t>Y2</t>
  </si>
  <si>
    <t>C2</t>
  </si>
  <si>
    <t>C3</t>
  </si>
  <si>
    <t>M2</t>
  </si>
  <si>
    <t>T</t>
  </si>
  <si>
    <t>Q2</t>
  </si>
  <si>
    <t>L03</t>
  </si>
  <si>
    <t>a - b</t>
  </si>
  <si>
    <t>Modular Systems +</t>
  </si>
  <si>
    <t>Fife New Hospital Joint Venture</t>
  </si>
  <si>
    <r>
      <rPr>
        <b/>
        <sz val="12"/>
        <rFont val="Encino"/>
      </rPr>
      <t>The</t>
    </r>
    <r>
      <rPr>
        <b/>
        <sz val="12"/>
        <color indexed="12"/>
        <rFont val="Encino"/>
      </rPr>
      <t xml:space="preserve"> </t>
    </r>
    <r>
      <rPr>
        <b/>
        <sz val="12"/>
        <color rgb="FFFF0000"/>
        <rFont val="Encino"/>
      </rPr>
      <t>ARK</t>
    </r>
    <r>
      <rPr>
        <b/>
        <sz val="12"/>
        <color indexed="12"/>
        <rFont val="Encino"/>
      </rPr>
      <t xml:space="preserve"> Electrical </t>
    </r>
    <r>
      <rPr>
        <b/>
        <sz val="12"/>
        <rFont val="Encino"/>
      </rPr>
      <t>Design Co.</t>
    </r>
  </si>
  <si>
    <t>MW502</t>
  </si>
  <si>
    <t>L01</t>
  </si>
  <si>
    <t>1L1</t>
  </si>
  <si>
    <t>a</t>
  </si>
  <si>
    <t>CD-MS-02-L(62)1-XX-006</t>
  </si>
  <si>
    <t>7L3</t>
  </si>
  <si>
    <t>Supply Voltage:</t>
  </si>
  <si>
    <t>UCVD May 2010 V4.3</t>
  </si>
  <si>
    <t>C1</t>
  </si>
  <si>
    <t>26.06.10</t>
  </si>
  <si>
    <r>
      <t xml:space="preserve">© </t>
    </r>
    <r>
      <rPr>
        <b/>
        <sz val="9"/>
        <rFont val="Encino"/>
      </rPr>
      <t xml:space="preserve">The </t>
    </r>
    <r>
      <rPr>
        <b/>
        <sz val="9"/>
        <color indexed="10"/>
        <rFont val="Encino"/>
      </rPr>
      <t>ARK</t>
    </r>
    <r>
      <rPr>
        <b/>
        <sz val="9"/>
        <rFont val="Encino"/>
      </rPr>
      <t xml:space="preserve"> </t>
    </r>
    <r>
      <rPr>
        <b/>
        <sz val="9"/>
        <color indexed="12"/>
        <rFont val="Encino"/>
      </rPr>
      <t>Electrical</t>
    </r>
    <r>
      <rPr>
        <b/>
        <sz val="9"/>
        <rFont val="Encino"/>
      </rPr>
      <t xml:space="preserve"> Design Co.</t>
    </r>
  </si>
  <si>
    <t>L02</t>
  </si>
  <si>
    <t>W</t>
  </si>
  <si>
    <t>5L1</t>
  </si>
  <si>
    <t>5L2</t>
  </si>
  <si>
    <t>06</t>
  </si>
  <si>
    <t>EX2</t>
  </si>
  <si>
    <t>FEEDER CABLE:</t>
  </si>
  <si>
    <t>FEEDER</t>
  </si>
  <si>
    <t>FLAT WIRING</t>
  </si>
  <si>
    <t>FLYING LEAD</t>
  </si>
  <si>
    <t>Feeder</t>
  </si>
  <si>
    <r>
      <rPr>
        <b/>
        <sz val="8"/>
        <rFont val="Verdana"/>
        <family val="2"/>
      </rPr>
      <t>FW</t>
    </r>
    <r>
      <rPr>
        <sz val="8"/>
        <rFont val="Verdana"/>
        <family val="2"/>
      </rPr>
      <t xml:space="preserve"> = Flat Wiring</t>
    </r>
  </si>
  <si>
    <r>
      <t>FL</t>
    </r>
    <r>
      <rPr>
        <sz val="8"/>
        <rFont val="Verdana"/>
        <family val="2"/>
      </rPr>
      <t xml:space="preserve"> = Flying Lead</t>
    </r>
  </si>
  <si>
    <t>FW</t>
  </si>
  <si>
    <t>FL</t>
  </si>
  <si>
    <t>°C</t>
  </si>
</sst>
</file>

<file path=xl/styles.xml><?xml version="1.0" encoding="utf-8"?>
<styleSheet xmlns="http://schemas.openxmlformats.org/spreadsheetml/2006/main">
  <numFmts count="12">
    <numFmt numFmtId="164" formatCode="0.0"/>
    <numFmt numFmtId="165" formatCode="0.000"/>
    <numFmt numFmtId="166" formatCode="0.0000"/>
    <numFmt numFmtId="167" formatCode="0\ \A"/>
    <numFmt numFmtId="168" formatCode="0.00\ %"/>
    <numFmt numFmtId="169" formatCode="0.00\ \A"/>
    <numFmt numFmtId="170" formatCode="0.00\ \m"/>
    <numFmt numFmtId="171" formatCode="0.00&quot; V&quot;"/>
    <numFmt numFmtId="172" formatCode="0&quot; V&quot;"/>
    <numFmt numFmtId="173" formatCode="0.00&quot; Ohms&quot;"/>
    <numFmt numFmtId="174" formatCode="0.00000&quot; Ω&quot;"/>
    <numFmt numFmtId="175" formatCode="0,000&quot; A&quot;"/>
  </numFmts>
  <fonts count="43">
    <font>
      <sz val="10"/>
      <name val="Arial"/>
    </font>
    <font>
      <sz val="8"/>
      <name val="Arial"/>
      <family val="2"/>
    </font>
    <font>
      <b/>
      <sz val="10"/>
      <name val="Verdana"/>
      <family val="2"/>
    </font>
    <font>
      <sz val="9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9"/>
      <name val="Encino"/>
    </font>
    <font>
      <b/>
      <sz val="9"/>
      <color indexed="10"/>
      <name val="Encino"/>
    </font>
    <font>
      <b/>
      <sz val="9"/>
      <color indexed="12"/>
      <name val="Encino"/>
    </font>
    <font>
      <b/>
      <sz val="9"/>
      <name val="Verdana"/>
      <family val="2"/>
    </font>
    <font>
      <sz val="8"/>
      <name val="Verdana"/>
      <family val="2"/>
    </font>
    <font>
      <b/>
      <u/>
      <sz val="8"/>
      <name val="Verdana"/>
      <family val="2"/>
    </font>
    <font>
      <sz val="11"/>
      <name val="Verdana"/>
      <family val="2"/>
    </font>
    <font>
      <i/>
      <u/>
      <sz val="10"/>
      <name val="Verdana"/>
      <family val="2"/>
    </font>
    <font>
      <vertAlign val="subscript"/>
      <sz val="12"/>
      <name val="Verdana"/>
      <family val="2"/>
    </font>
    <font>
      <sz val="12"/>
      <name val="Verdana"/>
      <family val="2"/>
    </font>
    <font>
      <b/>
      <u/>
      <sz val="9"/>
      <name val="Verdana"/>
      <family val="2"/>
    </font>
    <font>
      <i/>
      <u/>
      <sz val="9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i/>
      <sz val="10"/>
      <name val="Arial"/>
      <family val="2"/>
    </font>
    <font>
      <sz val="8"/>
      <name val="Symbol"/>
      <family val="1"/>
      <charset val="2"/>
    </font>
    <font>
      <b/>
      <sz val="8"/>
      <color indexed="10"/>
      <name val="Verdana"/>
      <family val="2"/>
    </font>
    <font>
      <sz val="8"/>
      <name val="Arial"/>
      <family val="2"/>
    </font>
    <font>
      <b/>
      <u/>
      <sz val="11"/>
      <name val="Verdana"/>
      <family val="2"/>
    </font>
    <font>
      <b/>
      <sz val="8"/>
      <name val="Arial"/>
      <family val="2"/>
    </font>
    <font>
      <u/>
      <sz val="11"/>
      <name val="Verdana"/>
      <family val="2"/>
    </font>
    <font>
      <b/>
      <sz val="9"/>
      <name val="Wingdings"/>
      <charset val="2"/>
    </font>
    <font>
      <sz val="9"/>
      <color indexed="81"/>
      <name val="Tahoma"/>
      <family val="2"/>
    </font>
    <font>
      <b/>
      <sz val="11"/>
      <name val="Verdana"/>
      <family val="2"/>
    </font>
    <font>
      <sz val="11"/>
      <name val="Arial"/>
      <family val="2"/>
    </font>
    <font>
      <b/>
      <sz val="14"/>
      <color indexed="10"/>
      <name val="Verdana"/>
      <family val="2"/>
    </font>
    <font>
      <b/>
      <sz val="8"/>
      <name val="Wingdings"/>
      <charset val="2"/>
    </font>
    <font>
      <b/>
      <sz val="11"/>
      <color indexed="10"/>
      <name val="Verdana"/>
      <family val="2"/>
    </font>
    <font>
      <b/>
      <sz val="11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12"/>
      <name val="Verdana"/>
      <family val="2"/>
    </font>
    <font>
      <b/>
      <sz val="14"/>
      <color indexed="12"/>
      <name val="Encino"/>
    </font>
    <font>
      <i/>
      <sz val="18"/>
      <color theme="3"/>
      <name val="BBFont"/>
      <family val="2"/>
    </font>
    <font>
      <b/>
      <sz val="12"/>
      <color indexed="12"/>
      <name val="Encino"/>
    </font>
    <font>
      <b/>
      <sz val="12"/>
      <name val="Encino"/>
    </font>
    <font>
      <b/>
      <sz val="12"/>
      <color rgb="FFFF0000"/>
      <name val="Encino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1">
    <xf numFmtId="0" fontId="0" fillId="0" borderId="0" xfId="0"/>
    <xf numFmtId="0" fontId="2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5" fillId="2" borderId="0" xfId="0" applyFont="1" applyFill="1" applyProtection="1">
      <protection hidden="1"/>
    </xf>
    <xf numFmtId="166" fontId="9" fillId="2" borderId="0" xfId="0" applyNumberFormat="1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2" fontId="3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166" fontId="3" fillId="2" borderId="0" xfId="0" applyNumberFormat="1" applyFont="1" applyFill="1" applyAlignment="1" applyProtection="1">
      <alignment horizontal="center" vertical="center"/>
      <protection hidden="1"/>
    </xf>
    <xf numFmtId="2" fontId="10" fillId="2" borderId="0" xfId="0" applyNumberFormat="1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right" vertical="center"/>
      <protection hidden="1"/>
    </xf>
    <xf numFmtId="0" fontId="12" fillId="2" borderId="0" xfId="0" applyFont="1" applyFill="1" applyAlignment="1" applyProtection="1">
      <alignment horizontal="center" vertical="top"/>
      <protection hidden="1"/>
    </xf>
    <xf numFmtId="0" fontId="12" fillId="2" borderId="0" xfId="0" applyFont="1" applyFill="1" applyAlignment="1" applyProtection="1">
      <alignment horizontal="right" vertical="top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2" fontId="12" fillId="2" borderId="0" xfId="0" applyNumberFormat="1" applyFont="1" applyFill="1" applyAlignment="1" applyProtection="1">
      <alignment horizontal="center" vertical="top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10" fillId="2" borderId="0" xfId="0" applyFont="1" applyFill="1" applyAlignment="1" applyProtection="1">
      <alignment horizontal="left" vertical="center"/>
      <protection hidden="1"/>
    </xf>
    <xf numFmtId="0" fontId="13" fillId="2" borderId="0" xfId="0" applyFont="1" applyFill="1" applyAlignment="1" applyProtection="1">
      <alignment horizontal="right" vertical="center"/>
      <protection hidden="1"/>
    </xf>
    <xf numFmtId="166" fontId="10" fillId="2" borderId="0" xfId="0" applyNumberFormat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vertical="center"/>
      <protection hidden="1"/>
    </xf>
    <xf numFmtId="2" fontId="10" fillId="2" borderId="0" xfId="0" applyNumberFormat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right" vertical="center"/>
      <protection hidden="1"/>
    </xf>
    <xf numFmtId="0" fontId="12" fillId="2" borderId="1" xfId="0" applyFont="1" applyFill="1" applyBorder="1" applyAlignment="1" applyProtection="1">
      <alignment horizontal="center" wrapText="1"/>
      <protection hidden="1"/>
    </xf>
    <xf numFmtId="0" fontId="15" fillId="2" borderId="1" xfId="0" applyFont="1" applyFill="1" applyBorder="1" applyAlignment="1" applyProtection="1">
      <alignment horizontal="center" wrapText="1"/>
      <protection hidden="1"/>
    </xf>
    <xf numFmtId="0" fontId="5" fillId="2" borderId="2" xfId="0" applyFont="1" applyFill="1" applyBorder="1" applyAlignment="1" applyProtection="1">
      <alignment horizontal="center" textRotation="90" wrapText="1"/>
      <protection hidden="1"/>
    </xf>
    <xf numFmtId="0" fontId="5" fillId="2" borderId="3" xfId="0" applyFont="1" applyFill="1" applyBorder="1" applyAlignment="1" applyProtection="1">
      <alignment horizontal="right" textRotation="90" wrapText="1"/>
      <protection hidden="1"/>
    </xf>
    <xf numFmtId="0" fontId="5" fillId="2" borderId="1" xfId="0" applyFont="1" applyFill="1" applyBorder="1" applyAlignment="1" applyProtection="1">
      <alignment textRotation="90" wrapText="1"/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17" fillId="2" borderId="0" xfId="0" applyFont="1" applyFill="1" applyAlignment="1" applyProtection="1">
      <alignment horizontal="right" vertical="center"/>
      <protection hidden="1"/>
    </xf>
    <xf numFmtId="2" fontId="10" fillId="2" borderId="0" xfId="0" applyNumberFormat="1" applyFont="1" applyFill="1" applyAlignment="1" applyProtection="1">
      <alignment horizontal="right"/>
      <protection hidden="1"/>
    </xf>
    <xf numFmtId="0" fontId="12" fillId="2" borderId="4" xfId="0" applyFont="1" applyFill="1" applyBorder="1" applyAlignment="1" applyProtection="1">
      <alignment horizontal="center" vertical="center" wrapText="1"/>
      <protection hidden="1"/>
    </xf>
    <xf numFmtId="0" fontId="12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9" fillId="2" borderId="6" xfId="0" applyFont="1" applyFill="1" applyBorder="1" applyAlignment="1" applyProtection="1">
      <alignment horizontal="left" vertical="center" wrapText="1"/>
      <protection hidden="1"/>
    </xf>
    <xf numFmtId="2" fontId="5" fillId="2" borderId="6" xfId="0" applyNumberFormat="1" applyFont="1" applyFill="1" applyBorder="1" applyAlignment="1" applyProtection="1">
      <alignment horizontal="center" vertical="center"/>
      <protection hidden="1"/>
    </xf>
    <xf numFmtId="2" fontId="5" fillId="2" borderId="0" xfId="0" applyNumberFormat="1" applyFont="1" applyFill="1" applyProtection="1">
      <protection hidden="1"/>
    </xf>
    <xf numFmtId="2" fontId="5" fillId="2" borderId="0" xfId="0" applyNumberFormat="1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right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2" fontId="3" fillId="2" borderId="9" xfId="0" applyNumberFormat="1" applyFont="1" applyFill="1" applyBorder="1" applyAlignment="1" applyProtection="1">
      <alignment horizontal="right" vertical="center" wrapText="1"/>
      <protection hidden="1"/>
    </xf>
    <xf numFmtId="2" fontId="5" fillId="2" borderId="9" xfId="0" applyNumberFormat="1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 vertical="center" wrapText="1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2" fontId="3" fillId="2" borderId="12" xfId="0" applyNumberFormat="1" applyFont="1" applyFill="1" applyBorder="1" applyAlignment="1" applyProtection="1">
      <alignment horizontal="right" vertical="center" wrapText="1"/>
      <protection hidden="1"/>
    </xf>
    <xf numFmtId="2" fontId="5" fillId="2" borderId="12" xfId="0" applyNumberFormat="1" applyFont="1" applyFill="1" applyBorder="1" applyAlignment="1" applyProtection="1">
      <alignment horizontal="center" vertical="center"/>
      <protection hidden="1"/>
    </xf>
    <xf numFmtId="2" fontId="18" fillId="2" borderId="0" xfId="0" applyNumberFormat="1" applyFont="1" applyFill="1" applyAlignment="1" applyProtection="1">
      <alignment horizontal="right"/>
      <protection hidden="1"/>
    </xf>
    <xf numFmtId="0" fontId="18" fillId="2" borderId="0" xfId="0" applyFont="1" applyFill="1" applyAlignment="1" applyProtection="1">
      <protection hidden="1"/>
    </xf>
    <xf numFmtId="0" fontId="10" fillId="2" borderId="0" xfId="0" applyFont="1" applyFill="1" applyAlignment="1" applyProtection="1"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21" fillId="2" borderId="0" xfId="0" applyFont="1" applyFill="1" applyAlignment="1" applyProtection="1">
      <alignment horizontal="left"/>
      <protection hidden="1"/>
    </xf>
    <xf numFmtId="166" fontId="3" fillId="2" borderId="0" xfId="0" applyNumberFormat="1" applyFont="1" applyFill="1" applyAlignment="1" applyProtection="1">
      <alignment horizontal="left"/>
      <protection hidden="1"/>
    </xf>
    <xf numFmtId="166" fontId="10" fillId="2" borderId="0" xfId="0" applyNumberFormat="1" applyFont="1" applyFill="1" applyAlignment="1" applyProtection="1">
      <protection hidden="1"/>
    </xf>
    <xf numFmtId="0" fontId="22" fillId="2" borderId="0" xfId="0" applyFont="1" applyFill="1" applyAlignment="1" applyProtection="1">
      <protection hidden="1"/>
    </xf>
    <xf numFmtId="0" fontId="3" fillId="2" borderId="13" xfId="0" applyFont="1" applyFill="1" applyBorder="1" applyAlignment="1" applyProtection="1">
      <alignment horizontal="center" vertical="center" wrapText="1"/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3" fillId="2" borderId="14" xfId="0" applyFont="1" applyFill="1" applyBorder="1" applyAlignment="1" applyProtection="1">
      <alignment horizontal="center" vertical="center" wrapText="1"/>
      <protection hidden="1"/>
    </xf>
    <xf numFmtId="2" fontId="3" fillId="2" borderId="15" xfId="0" applyNumberFormat="1" applyFont="1" applyFill="1" applyBorder="1" applyAlignment="1" applyProtection="1">
      <alignment horizontal="right" vertical="center" wrapText="1"/>
      <protection hidden="1"/>
    </xf>
    <xf numFmtId="2" fontId="5" fillId="2" borderId="15" xfId="0" applyNumberFormat="1" applyFont="1" applyFill="1" applyBorder="1" applyAlignment="1" applyProtection="1">
      <alignment horizontal="center" vertical="center"/>
      <protection hidden="1"/>
    </xf>
    <xf numFmtId="0" fontId="23" fillId="2" borderId="0" xfId="0" applyFont="1" applyFill="1" applyProtection="1">
      <protection hidden="1"/>
    </xf>
    <xf numFmtId="1" fontId="10" fillId="2" borderId="0" xfId="0" applyNumberFormat="1" applyFont="1" applyFill="1" applyAlignment="1" applyProtection="1">
      <alignment horizontal="right"/>
      <protection hidden="1"/>
    </xf>
    <xf numFmtId="0" fontId="10" fillId="2" borderId="0" xfId="0" applyFont="1" applyFill="1" applyProtection="1">
      <protection hidden="1"/>
    </xf>
    <xf numFmtId="2" fontId="10" fillId="2" borderId="0" xfId="0" applyNumberFormat="1" applyFont="1" applyFill="1" applyAlignment="1" applyProtection="1">
      <protection hidden="1"/>
    </xf>
    <xf numFmtId="0" fontId="10" fillId="2" borderId="0" xfId="0" applyFont="1" applyFill="1" applyAlignment="1" applyProtection="1">
      <alignment horizontal="right"/>
      <protection hidden="1"/>
    </xf>
    <xf numFmtId="2" fontId="10" fillId="2" borderId="0" xfId="0" applyNumberFormat="1" applyFont="1" applyFill="1" applyAlignment="1" applyProtection="1">
      <alignment horizontal="left"/>
      <protection hidden="1"/>
    </xf>
    <xf numFmtId="0" fontId="10" fillId="2" borderId="14" xfId="0" applyFont="1" applyFill="1" applyBorder="1" applyAlignment="1" applyProtection="1">
      <alignment horizontal="center" vertical="center"/>
      <protection hidden="1"/>
    </xf>
    <xf numFmtId="0" fontId="3" fillId="2" borderId="16" xfId="0" applyFont="1" applyFill="1" applyBorder="1" applyAlignment="1" applyProtection="1">
      <alignment horizontal="center" vertical="center"/>
      <protection hidden="1"/>
    </xf>
    <xf numFmtId="166" fontId="3" fillId="2" borderId="11" xfId="0" applyNumberFormat="1" applyFont="1" applyFill="1" applyBorder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/>
      <protection hidden="1"/>
    </xf>
    <xf numFmtId="2" fontId="10" fillId="2" borderId="17" xfId="0" applyNumberFormat="1" applyFont="1" applyFill="1" applyBorder="1" applyAlignment="1" applyProtection="1">
      <alignment horizontal="center" vertical="center"/>
      <protection hidden="1"/>
    </xf>
    <xf numFmtId="2" fontId="10" fillId="2" borderId="9" xfId="0" applyNumberFormat="1" applyFont="1" applyFill="1" applyBorder="1" applyAlignment="1" applyProtection="1">
      <alignment horizontal="center" vertical="center"/>
      <protection hidden="1"/>
    </xf>
    <xf numFmtId="2" fontId="10" fillId="2" borderId="10" xfId="0" applyNumberFormat="1" applyFont="1" applyFill="1" applyBorder="1" applyAlignment="1" applyProtection="1">
      <alignment horizontal="center" vertical="center"/>
      <protection hidden="1"/>
    </xf>
    <xf numFmtId="0" fontId="10" fillId="2" borderId="16" xfId="0" applyFont="1" applyFill="1" applyBorder="1" applyAlignment="1" applyProtection="1">
      <alignment horizontal="center" vertical="center"/>
      <protection hidden="1"/>
    </xf>
    <xf numFmtId="2" fontId="10" fillId="2" borderId="11" xfId="0" applyNumberFormat="1" applyFont="1" applyFill="1" applyBorder="1" applyAlignment="1" applyProtection="1">
      <alignment horizontal="center" vertical="center"/>
      <protection hidden="1"/>
    </xf>
    <xf numFmtId="2" fontId="10" fillId="2" borderId="8" xfId="0" applyNumberFormat="1" applyFont="1" applyFill="1" applyBorder="1" applyAlignment="1" applyProtection="1">
      <alignment horizontal="center" vertical="center"/>
      <protection hidden="1"/>
    </xf>
    <xf numFmtId="2" fontId="3" fillId="2" borderId="0" xfId="0" applyNumberFormat="1" applyFont="1" applyFill="1" applyAlignment="1" applyProtection="1">
      <alignment horizontal="center"/>
      <protection hidden="1"/>
    </xf>
    <xf numFmtId="2" fontId="10" fillId="2" borderId="15" xfId="0" applyNumberFormat="1" applyFont="1" applyFill="1" applyBorder="1" applyAlignment="1" applyProtection="1">
      <alignment horizontal="center" vertical="center"/>
      <protection hidden="1"/>
    </xf>
    <xf numFmtId="2" fontId="10" fillId="2" borderId="18" xfId="0" applyNumberFormat="1" applyFont="1" applyFill="1" applyBorder="1" applyAlignment="1" applyProtection="1">
      <alignment horizontal="center" vertical="center"/>
      <protection hidden="1"/>
    </xf>
    <xf numFmtId="2" fontId="10" fillId="2" borderId="13" xfId="0" applyNumberFormat="1" applyFont="1" applyFill="1" applyBorder="1" applyAlignment="1" applyProtection="1">
      <alignment horizontal="center" vertical="center"/>
      <protection hidden="1"/>
    </xf>
    <xf numFmtId="2" fontId="10" fillId="2" borderId="19" xfId="0" applyNumberFormat="1" applyFont="1" applyFill="1" applyBorder="1" applyAlignment="1" applyProtection="1">
      <alignment horizontal="center" vertical="center"/>
      <protection hidden="1"/>
    </xf>
    <xf numFmtId="1" fontId="10" fillId="2" borderId="14" xfId="0" applyNumberFormat="1" applyFont="1" applyFill="1" applyBorder="1" applyAlignment="1" applyProtection="1">
      <alignment horizontal="center" vertical="center"/>
      <protection hidden="1"/>
    </xf>
    <xf numFmtId="2" fontId="10" fillId="2" borderId="20" xfId="0" applyNumberFormat="1" applyFont="1" applyFill="1" applyBorder="1" applyAlignment="1" applyProtection="1">
      <alignment horizontal="center"/>
      <protection hidden="1"/>
    </xf>
    <xf numFmtId="2" fontId="10" fillId="2" borderId="21" xfId="0" applyNumberFormat="1" applyFont="1" applyFill="1" applyBorder="1" applyAlignment="1" applyProtection="1">
      <alignment horizontal="center" vertical="center"/>
      <protection hidden="1"/>
    </xf>
    <xf numFmtId="2" fontId="10" fillId="2" borderId="0" xfId="0" applyNumberFormat="1" applyFont="1" applyFill="1" applyBorder="1" applyAlignment="1" applyProtection="1">
      <alignment horizontal="center" vertical="center"/>
      <protection hidden="1"/>
    </xf>
    <xf numFmtId="2" fontId="10" fillId="2" borderId="22" xfId="0" applyNumberFormat="1" applyFont="1" applyFill="1" applyBorder="1" applyAlignment="1" applyProtection="1">
      <alignment horizontal="center" vertical="center"/>
      <protection hidden="1"/>
    </xf>
    <xf numFmtId="1" fontId="10" fillId="2" borderId="22" xfId="0" applyNumberFormat="1" applyFont="1" applyFill="1" applyBorder="1" applyAlignment="1" applyProtection="1">
      <alignment horizontal="center" vertical="center"/>
      <protection hidden="1"/>
    </xf>
    <xf numFmtId="2" fontId="10" fillId="2" borderId="23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16" fillId="2" borderId="0" xfId="0" applyFont="1" applyFill="1" applyAlignment="1" applyProtection="1">
      <alignment horizontal="left" vertical="center"/>
      <protection hidden="1"/>
    </xf>
    <xf numFmtId="0" fontId="18" fillId="2" borderId="0" xfId="0" applyFont="1" applyFill="1" applyAlignment="1" applyProtection="1">
      <alignment horizontal="right"/>
      <protection hidden="1"/>
    </xf>
    <xf numFmtId="0" fontId="16" fillId="2" borderId="24" xfId="0" applyFont="1" applyFill="1" applyBorder="1" applyAlignment="1" applyProtection="1">
      <alignment horizontal="center" vertical="center"/>
      <protection hidden="1"/>
    </xf>
    <xf numFmtId="0" fontId="16" fillId="2" borderId="25" xfId="0" applyFont="1" applyFill="1" applyBorder="1" applyAlignment="1" applyProtection="1">
      <alignment horizontal="center" vertical="center"/>
      <protection hidden="1"/>
    </xf>
    <xf numFmtId="0" fontId="16" fillId="2" borderId="26" xfId="0" applyFont="1" applyFill="1" applyBorder="1" applyAlignment="1" applyProtection="1">
      <alignment horizontal="right" vertical="center"/>
      <protection hidden="1"/>
    </xf>
    <xf numFmtId="0" fontId="12" fillId="2" borderId="26" xfId="0" applyFont="1" applyFill="1" applyBorder="1" applyAlignment="1" applyProtection="1">
      <alignment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right" vertical="center"/>
      <protection hidden="1"/>
    </xf>
    <xf numFmtId="2" fontId="12" fillId="2" borderId="0" xfId="0" applyNumberFormat="1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2" fontId="18" fillId="2" borderId="0" xfId="0" applyNumberFormat="1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horizontal="right" vertical="center"/>
      <protection hidden="1"/>
    </xf>
    <xf numFmtId="3" fontId="10" fillId="2" borderId="0" xfId="0" applyNumberFormat="1" applyFont="1" applyFill="1" applyAlignment="1" applyProtection="1">
      <protection hidden="1"/>
    </xf>
    <xf numFmtId="2" fontId="5" fillId="2" borderId="0" xfId="0" applyNumberFormat="1" applyFont="1" applyFill="1" applyAlignment="1" applyProtection="1">
      <alignment horizontal="right" vertical="center"/>
      <protection hidden="1"/>
    </xf>
    <xf numFmtId="0" fontId="26" fillId="2" borderId="0" xfId="0" applyFont="1" applyFill="1" applyAlignment="1" applyProtection="1">
      <alignment horizontal="center" vertical="center"/>
      <protection hidden="1"/>
    </xf>
    <xf numFmtId="168" fontId="27" fillId="2" borderId="0" xfId="0" applyNumberFormat="1" applyFont="1" applyFill="1" applyAlignment="1" applyProtection="1">
      <alignment horizontal="right"/>
      <protection hidden="1"/>
    </xf>
    <xf numFmtId="2" fontId="10" fillId="2" borderId="7" xfId="0" applyNumberFormat="1" applyFont="1" applyFill="1" applyBorder="1" applyAlignment="1" applyProtection="1">
      <alignment horizontal="center" vertical="center"/>
      <protection hidden="1"/>
    </xf>
    <xf numFmtId="1" fontId="10" fillId="2" borderId="8" xfId="0" applyNumberFormat="1" applyFont="1" applyFill="1" applyBorder="1" applyAlignment="1" applyProtection="1">
      <alignment horizontal="center" vertical="center"/>
      <protection hidden="1"/>
    </xf>
    <xf numFmtId="2" fontId="10" fillId="2" borderId="27" xfId="0" applyNumberFormat="1" applyFont="1" applyFill="1" applyBorder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right" vertical="center"/>
      <protection hidden="1"/>
    </xf>
    <xf numFmtId="2" fontId="22" fillId="2" borderId="0" xfId="0" applyNumberFormat="1" applyFont="1" applyFill="1" applyAlignment="1" applyProtection="1">
      <alignment horizontal="right"/>
      <protection hidden="1"/>
    </xf>
    <xf numFmtId="2" fontId="22" fillId="2" borderId="0" xfId="0" applyNumberFormat="1" applyFont="1" applyFill="1" applyAlignment="1" applyProtection="1">
      <alignment horizontal="center"/>
      <protection hidden="1"/>
    </xf>
    <xf numFmtId="0" fontId="27" fillId="2" borderId="0" xfId="0" applyFont="1" applyFill="1" applyAlignment="1" applyProtection="1">
      <alignment horizontal="right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2" fontId="5" fillId="2" borderId="0" xfId="0" applyNumberFormat="1" applyFont="1" applyFill="1" applyAlignment="1" applyProtection="1">
      <alignment horizontal="center" vertical="center"/>
      <protection hidden="1"/>
    </xf>
    <xf numFmtId="3" fontId="5" fillId="2" borderId="0" xfId="0" applyNumberFormat="1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2" fontId="5" fillId="2" borderId="0" xfId="0" applyNumberFormat="1" applyFont="1" applyFill="1" applyAlignment="1" applyProtection="1">
      <alignment horizontal="right"/>
      <protection hidden="1"/>
    </xf>
    <xf numFmtId="0" fontId="0" fillId="2" borderId="0" xfId="0" applyFill="1" applyAlignment="1" applyProtection="1">
      <protection hidden="1"/>
    </xf>
    <xf numFmtId="0" fontId="10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protection hidden="1"/>
    </xf>
    <xf numFmtId="0" fontId="12" fillId="2" borderId="0" xfId="0" applyFont="1" applyFill="1" applyAlignment="1" applyProtection="1">
      <protection hidden="1"/>
    </xf>
    <xf numFmtId="0" fontId="24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left"/>
      <protection hidden="1"/>
    </xf>
    <xf numFmtId="168" fontId="32" fillId="2" borderId="0" xfId="0" applyNumberFormat="1" applyFont="1" applyFill="1" applyAlignment="1" applyProtection="1">
      <alignment horizontal="right"/>
      <protection hidden="1"/>
    </xf>
    <xf numFmtId="0" fontId="18" fillId="2" borderId="0" xfId="0" applyFont="1" applyFill="1" applyAlignment="1" applyProtection="1">
      <alignment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5" fillId="2" borderId="29" xfId="0" applyFont="1" applyFill="1" applyBorder="1" applyAlignment="1" applyProtection="1">
      <alignment horizontal="center" vertical="center"/>
      <protection hidden="1"/>
    </xf>
    <xf numFmtId="0" fontId="5" fillId="2" borderId="29" xfId="0" applyFont="1" applyFill="1" applyBorder="1" applyAlignment="1" applyProtection="1">
      <alignment horizontal="right" vertical="center"/>
      <protection hidden="1"/>
    </xf>
    <xf numFmtId="1" fontId="5" fillId="2" borderId="29" xfId="0" applyNumberFormat="1" applyFont="1" applyFill="1" applyBorder="1" applyAlignment="1" applyProtection="1">
      <alignment vertical="center"/>
      <protection hidden="1"/>
    </xf>
    <xf numFmtId="0" fontId="5" fillId="2" borderId="29" xfId="0" applyFont="1" applyFill="1" applyBorder="1" applyAlignment="1" applyProtection="1">
      <alignment vertical="center"/>
      <protection hidden="1"/>
    </xf>
    <xf numFmtId="0" fontId="12" fillId="2" borderId="30" xfId="0" applyFont="1" applyFill="1" applyBorder="1" applyAlignment="1" applyProtection="1">
      <alignment horizontal="center" vertical="center"/>
      <protection hidden="1"/>
    </xf>
    <xf numFmtId="0" fontId="5" fillId="2" borderId="31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right" vertical="center"/>
      <protection hidden="1"/>
    </xf>
    <xf numFmtId="1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12" fillId="2" borderId="32" xfId="0" applyFont="1" applyFill="1" applyBorder="1" applyAlignment="1" applyProtection="1">
      <alignment horizontal="center" vertical="center"/>
      <protection hidden="1"/>
    </xf>
    <xf numFmtId="0" fontId="12" fillId="2" borderId="31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0" fontId="12" fillId="2" borderId="33" xfId="0" applyFont="1" applyFill="1" applyBorder="1" applyAlignment="1" applyProtection="1">
      <alignment horizontal="center" vertical="center"/>
      <protection hidden="1"/>
    </xf>
    <xf numFmtId="0" fontId="12" fillId="2" borderId="24" xfId="0" applyFont="1" applyFill="1" applyBorder="1" applyAlignment="1" applyProtection="1">
      <alignment horizontal="center" vertical="center"/>
      <protection hidden="1"/>
    </xf>
    <xf numFmtId="0" fontId="12" fillId="2" borderId="24" xfId="0" applyFont="1" applyFill="1" applyBorder="1" applyAlignment="1" applyProtection="1">
      <alignment horizontal="right" vertical="center"/>
      <protection hidden="1"/>
    </xf>
    <xf numFmtId="0" fontId="12" fillId="2" borderId="34" xfId="0" applyFont="1" applyFill="1" applyBorder="1" applyAlignment="1" applyProtection="1">
      <alignment horizontal="center" vertical="center"/>
      <protection hidden="1"/>
    </xf>
    <xf numFmtId="0" fontId="10" fillId="3" borderId="20" xfId="0" applyFont="1" applyFill="1" applyBorder="1" applyAlignment="1" applyProtection="1">
      <protection locked="0"/>
    </xf>
    <xf numFmtId="2" fontId="10" fillId="3" borderId="23" xfId="0" applyNumberFormat="1" applyFont="1" applyFill="1" applyBorder="1" applyProtection="1">
      <protection locked="0"/>
    </xf>
    <xf numFmtId="2" fontId="10" fillId="3" borderId="27" xfId="0" applyNumberFormat="1" applyFont="1" applyFill="1" applyBorder="1" applyAlignment="1" applyProtection="1">
      <alignment horizontal="right"/>
      <protection locked="0"/>
    </xf>
    <xf numFmtId="0" fontId="10" fillId="3" borderId="20" xfId="0" applyFont="1" applyFill="1" applyBorder="1" applyAlignment="1" applyProtection="1">
      <alignment horizontal="right"/>
      <protection locked="0"/>
    </xf>
    <xf numFmtId="0" fontId="10" fillId="3" borderId="23" xfId="0" applyFont="1" applyFill="1" applyBorder="1" applyAlignment="1" applyProtection="1">
      <alignment horizontal="right"/>
      <protection locked="0"/>
    </xf>
    <xf numFmtId="0" fontId="10" fillId="3" borderId="27" xfId="0" applyFont="1" applyFill="1" applyBorder="1" applyAlignment="1" applyProtection="1">
      <alignment horizontal="right"/>
      <protection locked="0"/>
    </xf>
    <xf numFmtId="0" fontId="29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34" fillId="0" borderId="0" xfId="0" applyFont="1" applyAlignment="1" applyProtection="1">
      <alignment horizontal="left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36" fillId="0" borderId="0" xfId="0" applyFont="1" applyAlignment="1" applyProtection="1">
      <alignment vertical="center"/>
      <protection hidden="1"/>
    </xf>
    <xf numFmtId="0" fontId="37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12" fillId="0" borderId="24" xfId="0" applyFont="1" applyBorder="1" applyAlignment="1" applyProtection="1">
      <alignment vertical="center"/>
      <protection hidden="1"/>
    </xf>
    <xf numFmtId="0" fontId="12" fillId="0" borderId="35" xfId="0" applyFont="1" applyBorder="1" applyAlignment="1" applyProtection="1">
      <alignment horizontal="center" vertical="center"/>
      <protection hidden="1"/>
    </xf>
    <xf numFmtId="0" fontId="29" fillId="0" borderId="0" xfId="0" applyFont="1" applyFill="1" applyAlignment="1" applyProtection="1">
      <alignment vertical="center"/>
      <protection hidden="1"/>
    </xf>
    <xf numFmtId="165" fontId="29" fillId="0" borderId="0" xfId="0" applyNumberFormat="1" applyFont="1" applyAlignment="1" applyProtection="1">
      <alignment horizontal="left" vertical="center"/>
      <protection hidden="1"/>
    </xf>
    <xf numFmtId="0" fontId="12" fillId="0" borderId="1" xfId="0" applyFont="1" applyBorder="1" applyAlignment="1" applyProtection="1">
      <alignment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36" xfId="0" applyFont="1" applyBorder="1" applyAlignment="1" applyProtection="1">
      <alignment horizontal="center" vertical="center"/>
      <protection hidden="1"/>
    </xf>
    <xf numFmtId="49" fontId="12" fillId="0" borderId="24" xfId="0" applyNumberFormat="1" applyFont="1" applyBorder="1" applyAlignment="1" applyProtection="1">
      <alignment horizontal="center" vertical="center"/>
      <protection hidden="1"/>
    </xf>
    <xf numFmtId="0" fontId="12" fillId="0" borderId="37" xfId="0" applyFont="1" applyBorder="1" applyAlignment="1" applyProtection="1">
      <alignment horizontal="center" vertical="center"/>
      <protection hidden="1"/>
    </xf>
    <xf numFmtId="0" fontId="12" fillId="0" borderId="0" xfId="0" applyNumberFormat="1" applyFont="1" applyAlignment="1" applyProtection="1">
      <alignment vertical="center"/>
      <protection hidden="1"/>
    </xf>
    <xf numFmtId="49" fontId="12" fillId="0" borderId="0" xfId="0" applyNumberFormat="1" applyFont="1" applyAlignment="1" applyProtection="1">
      <alignment horizontal="left" vertical="top"/>
      <protection hidden="1"/>
    </xf>
    <xf numFmtId="49" fontId="12" fillId="0" borderId="0" xfId="0" applyNumberFormat="1" applyFont="1" applyAlignment="1" applyProtection="1">
      <alignment horizontal="left" vertical="center"/>
      <protection hidden="1"/>
    </xf>
    <xf numFmtId="165" fontId="12" fillId="0" borderId="0" xfId="0" applyNumberFormat="1" applyFont="1" applyAlignment="1" applyProtection="1">
      <alignment horizontal="center"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166" fontId="12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12" fillId="0" borderId="24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29" fillId="0" borderId="28" xfId="0" applyFont="1" applyFill="1" applyBorder="1" applyAlignment="1" applyProtection="1">
      <alignment vertical="center"/>
      <protection hidden="1"/>
    </xf>
    <xf numFmtId="0" fontId="12" fillId="0" borderId="29" xfId="0" applyFont="1" applyFill="1" applyBorder="1" applyAlignment="1" applyProtection="1">
      <alignment horizontal="right" vertical="center"/>
      <protection hidden="1"/>
    </xf>
    <xf numFmtId="0" fontId="12" fillId="0" borderId="30" xfId="0" applyFont="1" applyFill="1" applyBorder="1" applyAlignment="1" applyProtection="1">
      <alignment horizontal="right" vertical="center"/>
      <protection hidden="1"/>
    </xf>
    <xf numFmtId="0" fontId="29" fillId="0" borderId="31" xfId="0" applyFont="1" applyFill="1" applyBorder="1" applyAlignment="1" applyProtection="1">
      <alignment vertical="center"/>
      <protection hidden="1"/>
    </xf>
    <xf numFmtId="0" fontId="12" fillId="0" borderId="32" xfId="0" applyFont="1" applyFill="1" applyBorder="1" applyAlignment="1" applyProtection="1">
      <alignment vertical="center"/>
      <protection hidden="1"/>
    </xf>
    <xf numFmtId="0" fontId="29" fillId="0" borderId="33" xfId="0" applyFont="1" applyFill="1" applyBorder="1" applyAlignment="1" applyProtection="1">
      <alignment vertical="center"/>
      <protection hidden="1"/>
    </xf>
    <xf numFmtId="0" fontId="12" fillId="0" borderId="24" xfId="0" applyFont="1" applyFill="1" applyBorder="1" applyAlignment="1" applyProtection="1">
      <alignment vertical="center"/>
      <protection hidden="1"/>
    </xf>
    <xf numFmtId="0" fontId="12" fillId="0" borderId="34" xfId="0" applyFont="1" applyFill="1" applyBorder="1" applyAlignment="1" applyProtection="1">
      <alignment vertical="center"/>
      <protection hidden="1"/>
    </xf>
    <xf numFmtId="172" fontId="29" fillId="0" borderId="38" xfId="0" applyNumberFormat="1" applyFont="1" applyBorder="1" applyAlignment="1" applyProtection="1">
      <alignment horizontal="left" vertical="center"/>
      <protection hidden="1"/>
    </xf>
    <xf numFmtId="10" fontId="29" fillId="0" borderId="39" xfId="0" applyNumberFormat="1" applyFont="1" applyBorder="1" applyAlignment="1" applyProtection="1">
      <alignment horizontal="left" vertical="center"/>
      <protection hidden="1"/>
    </xf>
    <xf numFmtId="0" fontId="10" fillId="4" borderId="0" xfId="0" applyFont="1" applyFill="1" applyAlignment="1" applyProtection="1">
      <protection hidden="1"/>
    </xf>
    <xf numFmtId="166" fontId="10" fillId="4" borderId="0" xfId="0" applyNumberFormat="1" applyFont="1" applyFill="1" applyAlignment="1" applyProtection="1">
      <protection hidden="1"/>
    </xf>
    <xf numFmtId="2" fontId="10" fillId="4" borderId="0" xfId="0" applyNumberFormat="1" applyFont="1" applyFill="1" applyAlignment="1" applyProtection="1">
      <alignment horizontal="center"/>
      <protection hidden="1"/>
    </xf>
    <xf numFmtId="2" fontId="10" fillId="4" borderId="0" xfId="0" applyNumberFormat="1" applyFont="1" applyFill="1" applyAlignment="1" applyProtection="1">
      <alignment horizontal="right"/>
      <protection hidden="1"/>
    </xf>
    <xf numFmtId="0" fontId="10" fillId="4" borderId="0" xfId="0" applyFont="1" applyFill="1" applyAlignment="1" applyProtection="1">
      <alignment horizontal="right"/>
      <protection hidden="1"/>
    </xf>
    <xf numFmtId="0" fontId="5" fillId="4" borderId="0" xfId="0" applyFont="1" applyFill="1" applyProtection="1"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2" fontId="3" fillId="4" borderId="12" xfId="0" applyNumberFormat="1" applyFont="1" applyFill="1" applyBorder="1" applyAlignment="1" applyProtection="1">
      <alignment horizontal="right" vertical="center" wrapText="1"/>
      <protection hidden="1"/>
    </xf>
    <xf numFmtId="2" fontId="5" fillId="4" borderId="12" xfId="0" applyNumberFormat="1" applyFont="1" applyFill="1" applyBorder="1" applyAlignment="1" applyProtection="1">
      <alignment horizontal="center" vertical="center"/>
      <protection hidden="1"/>
    </xf>
    <xf numFmtId="0" fontId="29" fillId="0" borderId="1" xfId="0" applyFont="1" applyBorder="1" applyAlignment="1" applyProtection="1">
      <alignment horizontal="center" vertical="center" wrapText="1"/>
      <protection hidden="1"/>
    </xf>
    <xf numFmtId="0" fontId="29" fillId="0" borderId="40" xfId="0" applyFont="1" applyBorder="1" applyAlignment="1" applyProtection="1">
      <alignment horizontal="center" vertical="center" wrapText="1"/>
      <protection hidden="1"/>
    </xf>
    <xf numFmtId="0" fontId="12" fillId="0" borderId="23" xfId="0" applyFont="1" applyBorder="1" applyAlignment="1" applyProtection="1">
      <alignment horizontal="center" vertical="center"/>
      <protection hidden="1"/>
    </xf>
    <xf numFmtId="0" fontId="29" fillId="0" borderId="23" xfId="0" applyFont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2" fillId="0" borderId="41" xfId="0" applyFont="1" applyBorder="1" applyAlignment="1" applyProtection="1">
      <alignment horizontal="center" vertical="center"/>
      <protection hidden="1"/>
    </xf>
    <xf numFmtId="0" fontId="29" fillId="0" borderId="41" xfId="0" applyFont="1" applyBorder="1" applyAlignment="1" applyProtection="1">
      <alignment horizontal="center" vertical="center"/>
      <protection hidden="1"/>
    </xf>
    <xf numFmtId="0" fontId="29" fillId="0" borderId="24" xfId="0" applyFont="1" applyBorder="1" applyAlignment="1" applyProtection="1">
      <alignment horizontal="center" vertical="center"/>
      <protection hidden="1"/>
    </xf>
    <xf numFmtId="0" fontId="12" fillId="0" borderId="0" xfId="0" applyFont="1" applyFill="1" applyAlignment="1" applyProtection="1">
      <alignment horizontal="right" vertical="center"/>
      <protection hidden="1"/>
    </xf>
    <xf numFmtId="0" fontId="12" fillId="0" borderId="0" xfId="0" applyFont="1" applyFill="1" applyAlignment="1" applyProtection="1">
      <alignment vertical="center"/>
      <protection hidden="1"/>
    </xf>
    <xf numFmtId="0" fontId="10" fillId="3" borderId="0" xfId="0" applyFont="1" applyFill="1" applyBorder="1" applyAlignment="1" applyProtection="1">
      <protection hidden="1"/>
    </xf>
    <xf numFmtId="2" fontId="10" fillId="3" borderId="0" xfId="0" applyNumberFormat="1" applyFont="1" applyFill="1" applyBorder="1" applyAlignment="1" applyProtection="1">
      <protection locked="0"/>
    </xf>
    <xf numFmtId="4" fontId="10" fillId="0" borderId="0" xfId="0" applyNumberFormat="1" applyFont="1" applyFill="1" applyBorder="1" applyAlignment="1" applyProtection="1">
      <protection hidden="1"/>
    </xf>
    <xf numFmtId="166" fontId="10" fillId="3" borderId="0" xfId="0" applyNumberFormat="1" applyFont="1" applyFill="1" applyBorder="1" applyProtection="1">
      <protection locked="0"/>
    </xf>
    <xf numFmtId="0" fontId="10" fillId="3" borderId="0" xfId="0" applyFont="1" applyFill="1" applyBorder="1" applyAlignment="1" applyProtection="1">
      <protection locked="0"/>
    </xf>
    <xf numFmtId="164" fontId="10" fillId="3" borderId="42" xfId="0" applyNumberFormat="1" applyFont="1" applyFill="1" applyBorder="1" applyAlignment="1" applyProtection="1">
      <protection locked="0"/>
    </xf>
    <xf numFmtId="0" fontId="29" fillId="0" borderId="38" xfId="0" applyFont="1" applyBorder="1" applyAlignment="1" applyProtection="1">
      <alignment vertical="center"/>
      <protection hidden="1"/>
    </xf>
    <xf numFmtId="0" fontId="29" fillId="0" borderId="39" xfId="0" applyFont="1" applyBorder="1" applyAlignment="1" applyProtection="1">
      <alignment vertical="center"/>
      <protection hidden="1"/>
    </xf>
    <xf numFmtId="0" fontId="10" fillId="2" borderId="43" xfId="0" applyFont="1" applyFill="1" applyBorder="1" applyAlignment="1" applyProtection="1">
      <alignment horizontal="center" vertical="center"/>
      <protection hidden="1"/>
    </xf>
    <xf numFmtId="164" fontId="10" fillId="2" borderId="44" xfId="0" applyNumberFormat="1" applyFont="1" applyFill="1" applyBorder="1" applyAlignment="1" applyProtection="1">
      <alignment horizontal="center" vertical="center"/>
      <protection hidden="1"/>
    </xf>
    <xf numFmtId="2" fontId="10" fillId="2" borderId="45" xfId="0" applyNumberFormat="1" applyFont="1" applyFill="1" applyBorder="1" applyAlignment="1" applyProtection="1">
      <alignment horizontal="center" vertical="center"/>
      <protection hidden="1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164" fontId="10" fillId="3" borderId="22" xfId="0" applyNumberFormat="1" applyFont="1" applyFill="1" applyBorder="1" applyAlignment="1" applyProtection="1">
      <alignment horizontal="center" vertical="center"/>
      <protection locked="0"/>
    </xf>
    <xf numFmtId="2" fontId="10" fillId="3" borderId="0" xfId="0" applyNumberFormat="1" applyFont="1" applyFill="1" applyBorder="1" applyAlignment="1" applyProtection="1">
      <alignment horizontal="center" vertical="center"/>
      <protection locked="0"/>
    </xf>
    <xf numFmtId="2" fontId="10" fillId="2" borderId="46" xfId="0" applyNumberFormat="1" applyFont="1" applyFill="1" applyBorder="1" applyAlignment="1" applyProtection="1">
      <alignment horizontal="center" vertical="center"/>
      <protection hidden="1"/>
    </xf>
    <xf numFmtId="2" fontId="10" fillId="2" borderId="47" xfId="0" applyNumberFormat="1" applyFont="1" applyFill="1" applyBorder="1" applyAlignment="1" applyProtection="1">
      <alignment horizontal="center" vertical="center"/>
      <protection hidden="1"/>
    </xf>
    <xf numFmtId="0" fontId="16" fillId="2" borderId="4" xfId="0" applyFont="1" applyFill="1" applyBorder="1" applyAlignment="1" applyProtection="1">
      <alignment vertical="center"/>
      <protection hidden="1"/>
    </xf>
    <xf numFmtId="0" fontId="10" fillId="2" borderId="4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protection hidden="1"/>
    </xf>
    <xf numFmtId="0" fontId="16" fillId="2" borderId="4" xfId="0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Border="1" applyAlignment="1" applyProtection="1">
      <alignment horizontal="left"/>
      <protection hidden="1"/>
    </xf>
    <xf numFmtId="2" fontId="10" fillId="2" borderId="0" xfId="0" applyNumberFormat="1" applyFon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protection hidden="1"/>
    </xf>
    <xf numFmtId="0" fontId="16" fillId="2" borderId="0" xfId="0" applyFont="1" applyFill="1" applyBorder="1" applyAlignment="1" applyProtection="1">
      <alignment horizontal="right" vertical="center"/>
      <protection hidden="1"/>
    </xf>
    <xf numFmtId="0" fontId="10" fillId="3" borderId="48" xfId="0" applyFont="1" applyFill="1" applyBorder="1" applyAlignment="1" applyProtection="1">
      <alignment horizontal="center" vertical="center"/>
      <protection locked="0"/>
    </xf>
    <xf numFmtId="0" fontId="10" fillId="3" borderId="46" xfId="0" applyFont="1" applyFill="1" applyBorder="1" applyAlignment="1" applyProtection="1">
      <alignment horizontal="center" vertical="center"/>
      <protection locked="0"/>
    </xf>
    <xf numFmtId="0" fontId="10" fillId="3" borderId="49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12" fillId="0" borderId="0" xfId="0" applyFont="1" applyBorder="1" applyAlignment="1" applyProtection="1">
      <alignment vertical="center"/>
      <protection hidden="1"/>
    </xf>
    <xf numFmtId="0" fontId="0" fillId="0" borderId="24" xfId="0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0" fontId="12" fillId="0" borderId="0" xfId="0" applyNumberFormat="1" applyFont="1" applyBorder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10" fontId="12" fillId="0" borderId="0" xfId="0" applyNumberFormat="1" applyFont="1" applyBorder="1" applyAlignment="1" applyProtection="1">
      <alignment horizontal="center" vertical="center"/>
      <protection hidden="1"/>
    </xf>
    <xf numFmtId="171" fontId="12" fillId="0" borderId="0" xfId="0" applyNumberFormat="1" applyFont="1" applyBorder="1" applyAlignment="1" applyProtection="1">
      <alignment horizontal="center" vertical="center"/>
      <protection hidden="1"/>
    </xf>
    <xf numFmtId="175" fontId="12" fillId="0" borderId="0" xfId="0" applyNumberFormat="1" applyFont="1" applyBorder="1" applyAlignment="1" applyProtection="1">
      <alignment horizontal="left" vertical="center"/>
      <protection hidden="1"/>
    </xf>
    <xf numFmtId="10" fontId="5" fillId="2" borderId="0" xfId="0" applyNumberFormat="1" applyFont="1" applyFill="1" applyAlignment="1" applyProtection="1">
      <alignment horizontal="center"/>
      <protection hidden="1"/>
    </xf>
    <xf numFmtId="171" fontId="5" fillId="2" borderId="0" xfId="0" applyNumberFormat="1" applyFont="1" applyFill="1" applyAlignment="1" applyProtection="1">
      <alignment horizontal="center"/>
      <protection hidden="1"/>
    </xf>
    <xf numFmtId="3" fontId="10" fillId="3" borderId="0" xfId="0" applyNumberFormat="1" applyFont="1" applyFill="1" applyBorder="1" applyProtection="1">
      <protection locked="0"/>
    </xf>
    <xf numFmtId="0" fontId="12" fillId="0" borderId="50" xfId="0" applyFont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horizontal="right" vertical="center"/>
      <protection hidden="1"/>
    </xf>
    <xf numFmtId="0" fontId="39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0" fillId="5" borderId="0" xfId="0" applyFill="1" applyAlignment="1"/>
    <xf numFmtId="0" fontId="9" fillId="5" borderId="51" xfId="0" applyNumberFormat="1" applyFont="1" applyFill="1" applyBorder="1" applyAlignment="1" applyProtection="1">
      <alignment horizontal="left" vertical="center"/>
      <protection hidden="1"/>
    </xf>
    <xf numFmtId="49" fontId="9" fillId="5" borderId="52" xfId="0" applyNumberFormat="1" applyFont="1" applyFill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left"/>
      <protection locked="0"/>
    </xf>
    <xf numFmtId="0" fontId="12" fillId="0" borderId="0" xfId="0" applyFont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left"/>
      <protection locked="0"/>
    </xf>
    <xf numFmtId="174" fontId="12" fillId="0" borderId="0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12" fillId="0" borderId="0" xfId="0" applyNumberFormat="1" applyFont="1" applyAlignment="1" applyProtection="1">
      <alignment horizontal="left" vertical="top" wrapText="1"/>
      <protection hidden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0" fillId="2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33" fillId="2" borderId="0" xfId="0" applyFont="1" applyFill="1" applyBorder="1" applyAlignment="1" applyProtection="1">
      <alignment horizontal="center" vertical="center" wrapText="1"/>
      <protection hidden="1"/>
    </xf>
    <xf numFmtId="171" fontId="29" fillId="2" borderId="0" xfId="0" applyNumberFormat="1" applyFont="1" applyFill="1" applyBorder="1" applyAlignment="1" applyProtection="1">
      <alignment horizontal="left"/>
      <protection hidden="1"/>
    </xf>
    <xf numFmtId="0" fontId="30" fillId="0" borderId="0" xfId="0" applyFont="1" applyAlignment="1"/>
    <xf numFmtId="170" fontId="29" fillId="2" borderId="0" xfId="0" applyNumberFormat="1" applyFont="1" applyFill="1" applyBorder="1" applyAlignment="1" applyProtection="1">
      <alignment horizontal="left"/>
      <protection hidden="1"/>
    </xf>
    <xf numFmtId="0" fontId="1" fillId="0" borderId="0" xfId="0" applyFont="1" applyAlignment="1"/>
    <xf numFmtId="173" fontId="29" fillId="2" borderId="0" xfId="0" applyNumberFormat="1" applyFont="1" applyFill="1" applyBorder="1" applyAlignment="1" applyProtection="1">
      <alignment horizontal="left"/>
      <protection hidden="1"/>
    </xf>
    <xf numFmtId="0" fontId="30" fillId="0" borderId="0" xfId="0" applyFont="1" applyAlignment="1" applyProtection="1">
      <alignment horizontal="left"/>
      <protection hidden="1"/>
    </xf>
    <xf numFmtId="167" fontId="29" fillId="2" borderId="0" xfId="0" applyNumberFormat="1" applyFont="1" applyFill="1" applyBorder="1" applyAlignment="1" applyProtection="1">
      <alignment horizontal="left"/>
      <protection hidden="1"/>
    </xf>
    <xf numFmtId="169" fontId="29" fillId="2" borderId="0" xfId="0" applyNumberFormat="1" applyFont="1" applyFill="1" applyBorder="1" applyAlignment="1" applyProtection="1">
      <alignment horizontal="left"/>
      <protection hidden="1"/>
    </xf>
    <xf numFmtId="0" fontId="9" fillId="3" borderId="0" xfId="0" applyNumberFormat="1" applyFont="1" applyFill="1" applyBorder="1" applyAlignment="1" applyProtection="1">
      <alignment horizontal="left" vertical="center"/>
      <protection locked="0"/>
    </xf>
    <xf numFmtId="0" fontId="0" fillId="3" borderId="0" xfId="0" applyNumberFormat="1" applyFill="1" applyBorder="1" applyAlignment="1">
      <alignment vertical="center"/>
    </xf>
    <xf numFmtId="2" fontId="19" fillId="2" borderId="0" xfId="0" applyNumberFormat="1" applyFont="1" applyFill="1" applyAlignment="1" applyProtection="1">
      <alignment horizontal="right"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9" fillId="0" borderId="0" xfId="0" applyNumberFormat="1" applyFont="1" applyFill="1" applyAlignment="1" applyProtection="1">
      <alignment horizontal="left" vertical="center"/>
      <protection hidden="1"/>
    </xf>
    <xf numFmtId="0" fontId="0" fillId="0" borderId="0" xfId="0" applyAlignment="1">
      <alignment horizontal="left" vertical="center"/>
    </xf>
    <xf numFmtId="49" fontId="9" fillId="3" borderId="0" xfId="0" applyNumberFormat="1" applyFont="1" applyFill="1" applyBorder="1" applyAlignment="1" applyProtection="1">
      <alignment horizontal="left" vertical="center"/>
      <protection locked="0"/>
    </xf>
    <xf numFmtId="0" fontId="0" fillId="3" borderId="0" xfId="0" applyNumberFormat="1" applyFill="1" applyBorder="1" applyAlignment="1">
      <alignment horizontal="left" vertical="center"/>
    </xf>
    <xf numFmtId="0" fontId="0" fillId="3" borderId="0" xfId="0" applyNumberFormat="1" applyFill="1" applyBorder="1" applyAlignment="1"/>
    <xf numFmtId="0" fontId="0" fillId="0" borderId="0" xfId="0" applyNumberFormat="1" applyAlignment="1">
      <alignment horizontal="left" vertical="center"/>
    </xf>
    <xf numFmtId="0" fontId="0" fillId="0" borderId="0" xfId="0" applyNumberFormat="1" applyAlignment="1"/>
    <xf numFmtId="0" fontId="3" fillId="2" borderId="12" xfId="0" applyFont="1" applyFill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31" fillId="2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9" fillId="2" borderId="0" xfId="0" applyNumberFormat="1" applyFont="1" applyFill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14" fontId="9" fillId="3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4"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21167</xdr:colOff>
      <xdr:row>15</xdr:row>
      <xdr:rowOff>137582</xdr:rowOff>
    </xdr:from>
    <xdr:to>
      <xdr:col>3</xdr:col>
      <xdr:colOff>10583</xdr:colOff>
      <xdr:row>15</xdr:row>
      <xdr:rowOff>139170</xdr:rowOff>
    </xdr:to>
    <xdr:cxnSp macro="">
      <xdr:nvCxnSpPr>
        <xdr:cNvPr id="5" name="Straight Connector 4"/>
        <xdr:cNvCxnSpPr/>
      </xdr:nvCxnSpPr>
      <xdr:spPr>
        <a:xfrm>
          <a:off x="1333500" y="4222749"/>
          <a:ext cx="142875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21167</xdr:colOff>
      <xdr:row>16</xdr:row>
      <xdr:rowOff>137582</xdr:rowOff>
    </xdr:from>
    <xdr:to>
      <xdr:col>3</xdr:col>
      <xdr:colOff>10583</xdr:colOff>
      <xdr:row>16</xdr:row>
      <xdr:rowOff>139170</xdr:rowOff>
    </xdr:to>
    <xdr:cxnSp macro="">
      <xdr:nvCxnSpPr>
        <xdr:cNvPr id="6" name="Straight Connector 5"/>
        <xdr:cNvCxnSpPr/>
      </xdr:nvCxnSpPr>
      <xdr:spPr>
        <a:xfrm>
          <a:off x="1333500" y="4222749"/>
          <a:ext cx="142875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21167</xdr:colOff>
      <xdr:row>15</xdr:row>
      <xdr:rowOff>137582</xdr:rowOff>
    </xdr:from>
    <xdr:to>
      <xdr:col>3</xdr:col>
      <xdr:colOff>10583</xdr:colOff>
      <xdr:row>15</xdr:row>
      <xdr:rowOff>139170</xdr:rowOff>
    </xdr:to>
    <xdr:cxnSp macro="">
      <xdr:nvCxnSpPr>
        <xdr:cNvPr id="4" name="Straight Connector 3"/>
        <xdr:cNvCxnSpPr/>
      </xdr:nvCxnSpPr>
      <xdr:spPr>
        <a:xfrm>
          <a:off x="1326092" y="4242857"/>
          <a:ext cx="751416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21167</xdr:colOff>
      <xdr:row>16</xdr:row>
      <xdr:rowOff>137582</xdr:rowOff>
    </xdr:from>
    <xdr:to>
      <xdr:col>3</xdr:col>
      <xdr:colOff>10583</xdr:colOff>
      <xdr:row>16</xdr:row>
      <xdr:rowOff>139170</xdr:rowOff>
    </xdr:to>
    <xdr:cxnSp macro="">
      <xdr:nvCxnSpPr>
        <xdr:cNvPr id="7" name="Straight Connector 6"/>
        <xdr:cNvCxnSpPr/>
      </xdr:nvCxnSpPr>
      <xdr:spPr>
        <a:xfrm>
          <a:off x="1326092" y="4500032"/>
          <a:ext cx="751416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21167</xdr:colOff>
      <xdr:row>15</xdr:row>
      <xdr:rowOff>137582</xdr:rowOff>
    </xdr:from>
    <xdr:to>
      <xdr:col>3</xdr:col>
      <xdr:colOff>10583</xdr:colOff>
      <xdr:row>15</xdr:row>
      <xdr:rowOff>139170</xdr:rowOff>
    </xdr:to>
    <xdr:cxnSp macro="">
      <xdr:nvCxnSpPr>
        <xdr:cNvPr id="8" name="Straight Connector 7"/>
        <xdr:cNvCxnSpPr/>
      </xdr:nvCxnSpPr>
      <xdr:spPr>
        <a:xfrm>
          <a:off x="1326092" y="4242857"/>
          <a:ext cx="751416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21167</xdr:colOff>
      <xdr:row>16</xdr:row>
      <xdr:rowOff>137582</xdr:rowOff>
    </xdr:from>
    <xdr:to>
      <xdr:col>3</xdr:col>
      <xdr:colOff>10583</xdr:colOff>
      <xdr:row>16</xdr:row>
      <xdr:rowOff>139170</xdr:rowOff>
    </xdr:to>
    <xdr:cxnSp macro="">
      <xdr:nvCxnSpPr>
        <xdr:cNvPr id="9" name="Straight Connector 8"/>
        <xdr:cNvCxnSpPr/>
      </xdr:nvCxnSpPr>
      <xdr:spPr>
        <a:xfrm>
          <a:off x="1326092" y="4500032"/>
          <a:ext cx="751416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21167</xdr:colOff>
      <xdr:row>15</xdr:row>
      <xdr:rowOff>137582</xdr:rowOff>
    </xdr:from>
    <xdr:to>
      <xdr:col>3</xdr:col>
      <xdr:colOff>10583</xdr:colOff>
      <xdr:row>15</xdr:row>
      <xdr:rowOff>139170</xdr:rowOff>
    </xdr:to>
    <xdr:cxnSp macro="">
      <xdr:nvCxnSpPr>
        <xdr:cNvPr id="10" name="Straight Connector 9"/>
        <xdr:cNvCxnSpPr/>
      </xdr:nvCxnSpPr>
      <xdr:spPr>
        <a:xfrm>
          <a:off x="1326092" y="4242857"/>
          <a:ext cx="751416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21167</xdr:colOff>
      <xdr:row>16</xdr:row>
      <xdr:rowOff>137582</xdr:rowOff>
    </xdr:from>
    <xdr:to>
      <xdr:col>3</xdr:col>
      <xdr:colOff>10583</xdr:colOff>
      <xdr:row>16</xdr:row>
      <xdr:rowOff>139170</xdr:rowOff>
    </xdr:to>
    <xdr:cxnSp macro="">
      <xdr:nvCxnSpPr>
        <xdr:cNvPr id="11" name="Straight Connector 10"/>
        <xdr:cNvCxnSpPr/>
      </xdr:nvCxnSpPr>
      <xdr:spPr>
        <a:xfrm>
          <a:off x="1326092" y="4500032"/>
          <a:ext cx="751416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53</xdr:row>
      <xdr:rowOff>133350</xdr:rowOff>
    </xdr:from>
    <xdr:to>
      <xdr:col>4</xdr:col>
      <xdr:colOff>381000</xdr:colOff>
      <xdr:row>61</xdr:row>
      <xdr:rowOff>57150</xdr:rowOff>
    </xdr:to>
    <xdr:sp macro="" textlink="">
      <xdr:nvSpPr>
        <xdr:cNvPr id="2" name="Rectangle 13"/>
        <xdr:cNvSpPr>
          <a:spLocks noChangeArrowheads="1"/>
        </xdr:cNvSpPr>
      </xdr:nvSpPr>
      <xdr:spPr bwMode="auto">
        <a:xfrm>
          <a:off x="561975" y="8772525"/>
          <a:ext cx="2143125" cy="12192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53</xdr:row>
      <xdr:rowOff>133350</xdr:rowOff>
    </xdr:from>
    <xdr:to>
      <xdr:col>4</xdr:col>
      <xdr:colOff>381000</xdr:colOff>
      <xdr:row>61</xdr:row>
      <xdr:rowOff>57150</xdr:rowOff>
    </xdr:to>
    <xdr:sp macro="" textlink="">
      <xdr:nvSpPr>
        <xdr:cNvPr id="2" name="Rectangle 13"/>
        <xdr:cNvSpPr>
          <a:spLocks noChangeArrowheads="1"/>
        </xdr:cNvSpPr>
      </xdr:nvSpPr>
      <xdr:spPr bwMode="auto">
        <a:xfrm>
          <a:off x="561975" y="8772525"/>
          <a:ext cx="2143125" cy="12192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53</xdr:row>
      <xdr:rowOff>133350</xdr:rowOff>
    </xdr:from>
    <xdr:to>
      <xdr:col>4</xdr:col>
      <xdr:colOff>381000</xdr:colOff>
      <xdr:row>61</xdr:row>
      <xdr:rowOff>57150</xdr:rowOff>
    </xdr:to>
    <xdr:sp macro="" textlink="">
      <xdr:nvSpPr>
        <xdr:cNvPr id="2" name="Rectangle 13"/>
        <xdr:cNvSpPr>
          <a:spLocks noChangeArrowheads="1"/>
        </xdr:cNvSpPr>
      </xdr:nvSpPr>
      <xdr:spPr bwMode="auto">
        <a:xfrm>
          <a:off x="561975" y="8772525"/>
          <a:ext cx="2143125" cy="12192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53</xdr:row>
      <xdr:rowOff>133350</xdr:rowOff>
    </xdr:from>
    <xdr:to>
      <xdr:col>4</xdr:col>
      <xdr:colOff>381000</xdr:colOff>
      <xdr:row>61</xdr:row>
      <xdr:rowOff>57150</xdr:rowOff>
    </xdr:to>
    <xdr:sp macro="" textlink="">
      <xdr:nvSpPr>
        <xdr:cNvPr id="2" name="Rectangle 13"/>
        <xdr:cNvSpPr>
          <a:spLocks noChangeArrowheads="1"/>
        </xdr:cNvSpPr>
      </xdr:nvSpPr>
      <xdr:spPr bwMode="auto">
        <a:xfrm>
          <a:off x="561975" y="8772525"/>
          <a:ext cx="2143125" cy="12192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36"/>
  <sheetViews>
    <sheetView showZeros="0" zoomScale="90" zoomScaleNormal="90" workbookViewId="0">
      <selection activeCell="C16" sqref="C16"/>
    </sheetView>
  </sheetViews>
  <sheetFormatPr defaultColWidth="18.7109375" defaultRowHeight="21.75" customHeight="1"/>
  <cols>
    <col min="1" max="1" width="4.5703125" style="160" customWidth="1"/>
    <col min="2" max="2" width="15" style="160" customWidth="1"/>
    <col min="3" max="6" width="11.42578125" style="160" customWidth="1"/>
    <col min="7" max="7" width="7.7109375" style="160" customWidth="1"/>
    <col min="8" max="8" width="15.7109375" style="160" customWidth="1"/>
    <col min="9" max="16384" width="18.7109375" style="160"/>
  </cols>
  <sheetData>
    <row r="1" spans="1:8" ht="21.75" customHeight="1">
      <c r="A1" s="266"/>
      <c r="B1" s="159"/>
      <c r="F1" s="159"/>
      <c r="G1" s="261"/>
      <c r="H1" s="265" t="s">
        <v>234</v>
      </c>
    </row>
    <row r="2" spans="1:8" s="163" customFormat="1" ht="21.75" customHeight="1">
      <c r="A2" s="162" t="s">
        <v>233</v>
      </c>
      <c r="B2" s="162"/>
      <c r="F2" s="162"/>
      <c r="G2" s="162"/>
      <c r="H2" s="162"/>
    </row>
    <row r="4" spans="1:8" ht="21.75" customHeight="1" thickBot="1">
      <c r="A4" s="164" t="s">
        <v>162</v>
      </c>
      <c r="D4" s="165"/>
    </row>
    <row r="5" spans="1:8" ht="21.75" customHeight="1">
      <c r="A5" s="160" t="s">
        <v>16</v>
      </c>
      <c r="C5" s="186" t="s">
        <v>204</v>
      </c>
      <c r="D5" s="187"/>
      <c r="E5" s="187"/>
      <c r="F5" s="188"/>
      <c r="G5" s="165" t="s">
        <v>160</v>
      </c>
      <c r="H5" s="223" t="s">
        <v>244</v>
      </c>
    </row>
    <row r="6" spans="1:8" ht="21.75" customHeight="1" thickBot="1">
      <c r="A6" s="160" t="s">
        <v>22</v>
      </c>
      <c r="C6" s="189" t="s">
        <v>235</v>
      </c>
      <c r="D6" s="185"/>
      <c r="E6" s="185"/>
      <c r="F6" s="190"/>
      <c r="G6" s="165" t="s">
        <v>161</v>
      </c>
      <c r="H6" s="224" t="s">
        <v>181</v>
      </c>
    </row>
    <row r="7" spans="1:8" ht="21.75" customHeight="1">
      <c r="A7" s="160" t="s">
        <v>31</v>
      </c>
      <c r="C7" s="189" t="s">
        <v>205</v>
      </c>
      <c r="D7" s="185"/>
      <c r="E7" s="185"/>
      <c r="F7" s="190"/>
    </row>
    <row r="8" spans="1:8" ht="21.75" customHeight="1">
      <c r="A8" s="160" t="s">
        <v>37</v>
      </c>
      <c r="C8" s="189" t="s">
        <v>239</v>
      </c>
      <c r="D8" s="185"/>
      <c r="E8" s="185"/>
      <c r="F8" s="190"/>
    </row>
    <row r="9" spans="1:8" ht="21.75" customHeight="1" thickBot="1">
      <c r="A9" s="160" t="s">
        <v>17</v>
      </c>
      <c r="C9" s="191" t="s">
        <v>180</v>
      </c>
      <c r="D9" s="192"/>
      <c r="E9" s="192"/>
      <c r="F9" s="193"/>
    </row>
    <row r="10" spans="1:8" ht="21.75" customHeight="1" thickBot="1">
      <c r="A10" s="287"/>
      <c r="B10" s="287"/>
      <c r="C10" s="179"/>
      <c r="D10" s="180"/>
      <c r="E10" s="180"/>
      <c r="F10" s="181"/>
    </row>
    <row r="11" spans="1:8" ht="21.75" customHeight="1">
      <c r="A11" s="288" t="s">
        <v>167</v>
      </c>
      <c r="B11" s="288"/>
      <c r="C11" s="194">
        <v>230</v>
      </c>
      <c r="D11" s="180"/>
      <c r="E11" s="180"/>
      <c r="F11" s="181"/>
    </row>
    <row r="12" spans="1:8" ht="21.75" customHeight="1" thickBot="1">
      <c r="A12" s="288" t="s">
        <v>168</v>
      </c>
      <c r="B12" s="288"/>
      <c r="C12" s="195">
        <v>0.04</v>
      </c>
      <c r="D12" s="180"/>
      <c r="E12" s="180"/>
      <c r="F12" s="181"/>
    </row>
    <row r="14" spans="1:8" ht="20.25" customHeight="1">
      <c r="A14" s="251" t="s">
        <v>185</v>
      </c>
      <c r="B14" s="250"/>
      <c r="C14" s="247"/>
      <c r="D14" s="253" t="s">
        <v>173</v>
      </c>
      <c r="E14" s="253" t="s">
        <v>174</v>
      </c>
      <c r="F14" s="253" t="s">
        <v>175</v>
      </c>
    </row>
    <row r="15" spans="1:8" ht="20.25" customHeight="1">
      <c r="A15" s="249" t="s">
        <v>23</v>
      </c>
      <c r="B15" s="250"/>
      <c r="C15" s="320">
        <v>2</v>
      </c>
      <c r="D15" s="184"/>
      <c r="E15" s="184"/>
      <c r="F15" s="184"/>
    </row>
    <row r="16" spans="1:8" ht="20.25" customHeight="1">
      <c r="A16" s="249" t="s">
        <v>45</v>
      </c>
      <c r="B16" s="250"/>
      <c r="C16" s="252"/>
      <c r="D16" s="254">
        <v>2.1499999999999998E-2</v>
      </c>
      <c r="E16" s="254">
        <f>VD_L1</f>
        <v>2.1499999999999998E-2</v>
      </c>
      <c r="F16" s="254">
        <f>VD_L2</f>
        <v>2.1499999999999998E-2</v>
      </c>
    </row>
    <row r="17" spans="1:8" ht="20.25" customHeight="1">
      <c r="A17" s="249" t="s">
        <v>58</v>
      </c>
      <c r="B17" s="250"/>
      <c r="C17" s="252"/>
      <c r="D17" s="255">
        <f>Source_Nominal_V-(Source_Nominal_V*(VD_L1/10))</f>
        <v>229.50550000000001</v>
      </c>
      <c r="E17" s="255">
        <f>Source_Nominal_V-(Source_Nominal_V*(VD_L2/10))</f>
        <v>229.50550000000001</v>
      </c>
      <c r="F17" s="255">
        <f>Source_Nominal_V-(Source_Nominal_V*(VD_L3/10))</f>
        <v>229.50550000000001</v>
      </c>
    </row>
    <row r="18" spans="1:8" ht="20.25" customHeight="1">
      <c r="A18" s="249" t="s">
        <v>186</v>
      </c>
      <c r="B18" s="250"/>
      <c r="C18" s="256">
        <v>14430</v>
      </c>
      <c r="D18" s="263"/>
      <c r="E18" s="184"/>
    </row>
    <row r="19" spans="1:8" ht="20.25" customHeight="1">
      <c r="A19" s="249" t="s">
        <v>187</v>
      </c>
      <c r="B19" s="250"/>
      <c r="C19" s="256">
        <v>1500</v>
      </c>
      <c r="D19" s="263"/>
      <c r="E19" s="184"/>
    </row>
    <row r="20" spans="1:8" ht="21.75" customHeight="1">
      <c r="A20" s="249" t="s">
        <v>57</v>
      </c>
      <c r="B20" s="250"/>
      <c r="C20" s="282">
        <v>7.3730000000000004E-2</v>
      </c>
      <c r="D20" s="283"/>
      <c r="E20" s="184"/>
    </row>
    <row r="21" spans="1:8" ht="21.75" customHeight="1">
      <c r="A21" s="249"/>
      <c r="B21" s="250"/>
      <c r="C21" s="247"/>
    </row>
    <row r="22" spans="1:8" ht="21.75" customHeight="1" thickBot="1"/>
    <row r="23" spans="1:8" ht="21.75" customHeight="1">
      <c r="A23" s="171"/>
      <c r="B23" s="172" t="s">
        <v>163</v>
      </c>
      <c r="C23" s="168"/>
      <c r="D23" s="172" t="s">
        <v>193</v>
      </c>
      <c r="E23" s="246"/>
      <c r="F23" s="168"/>
      <c r="G23" s="172" t="s">
        <v>194</v>
      </c>
      <c r="H23" s="246"/>
    </row>
    <row r="24" spans="1:8" ht="21.75" customHeight="1">
      <c r="B24" s="277" t="s">
        <v>236</v>
      </c>
      <c r="C24" s="173"/>
      <c r="D24" s="267" t="s">
        <v>237</v>
      </c>
      <c r="F24" s="173"/>
      <c r="G24" s="268" t="s">
        <v>238</v>
      </c>
    </row>
    <row r="25" spans="1:8" ht="21.75" customHeight="1">
      <c r="B25" s="262"/>
      <c r="C25" s="173"/>
      <c r="D25" s="262"/>
      <c r="F25" s="173"/>
      <c r="G25" s="262"/>
    </row>
    <row r="26" spans="1:8" ht="21.75" customHeight="1">
      <c r="B26" s="268" t="s">
        <v>246</v>
      </c>
      <c r="C26" s="173"/>
      <c r="D26" s="273" t="s">
        <v>248</v>
      </c>
      <c r="F26" s="173"/>
      <c r="G26" s="268" t="s">
        <v>238</v>
      </c>
    </row>
    <row r="27" spans="1:8" ht="21.75" customHeight="1">
      <c r="B27" s="262"/>
      <c r="C27" s="173"/>
      <c r="D27" s="262"/>
      <c r="F27" s="173"/>
      <c r="G27" s="262"/>
    </row>
    <row r="28" spans="1:8" ht="21.75" customHeight="1">
      <c r="B28" s="269" t="s">
        <v>246</v>
      </c>
      <c r="C28" s="173"/>
      <c r="D28" s="273" t="s">
        <v>249</v>
      </c>
      <c r="F28" s="173"/>
      <c r="G28" s="268"/>
    </row>
    <row r="29" spans="1:8" ht="21.75" customHeight="1">
      <c r="B29" s="262"/>
      <c r="C29" s="173"/>
      <c r="D29" s="262"/>
      <c r="F29" s="173"/>
      <c r="G29" s="262"/>
    </row>
    <row r="30" spans="1:8" ht="21.75" customHeight="1">
      <c r="B30" s="269" t="s">
        <v>230</v>
      </c>
      <c r="C30" s="173"/>
      <c r="D30" s="269" t="s">
        <v>240</v>
      </c>
      <c r="F30" s="173"/>
      <c r="G30" s="269" t="s">
        <v>231</v>
      </c>
    </row>
    <row r="31" spans="1:8" ht="21" customHeight="1" thickBot="1">
      <c r="A31" s="167"/>
      <c r="B31" s="174"/>
      <c r="C31" s="175"/>
      <c r="D31" s="183"/>
      <c r="E31" s="260"/>
      <c r="F31" s="175"/>
      <c r="G31" s="248"/>
      <c r="H31" s="248"/>
    </row>
    <row r="33" spans="1:8" ht="21.75" customHeight="1">
      <c r="A33" s="166" t="s">
        <v>164</v>
      </c>
    </row>
    <row r="34" spans="1:8" ht="21.75" customHeight="1">
      <c r="A34" s="176"/>
      <c r="B34" s="176"/>
      <c r="C34" s="176"/>
      <c r="D34" s="176"/>
      <c r="E34" s="176"/>
      <c r="F34" s="176"/>
    </row>
    <row r="35" spans="1:8" ht="21.75" customHeight="1">
      <c r="A35" s="177" t="s">
        <v>165</v>
      </c>
      <c r="B35" s="284" t="s">
        <v>166</v>
      </c>
      <c r="C35" s="285"/>
      <c r="D35" s="285"/>
      <c r="E35" s="285"/>
      <c r="F35" s="285"/>
      <c r="G35" s="285"/>
      <c r="H35" s="286"/>
    </row>
    <row r="36" spans="1:8" ht="21.75" customHeight="1">
      <c r="A36" s="178"/>
      <c r="B36" s="285"/>
      <c r="C36" s="285"/>
      <c r="D36" s="285"/>
      <c r="E36" s="285"/>
      <c r="F36" s="285"/>
      <c r="G36" s="285"/>
      <c r="H36" s="286"/>
    </row>
  </sheetData>
  <mergeCells count="5">
    <mergeCell ref="C20:D20"/>
    <mergeCell ref="B35:H36"/>
    <mergeCell ref="A10:B10"/>
    <mergeCell ref="A11:B11"/>
    <mergeCell ref="A12:B12"/>
  </mergeCells>
  <phoneticPr fontId="0" type="noConversion"/>
  <pageMargins left="0.98425196850393704" right="0.33" top="0.23622047244094491" bottom="0.28000000000000003" header="0.23622047244094491" footer="0.37"/>
  <pageSetup paperSize="9" orientation="portrait" horizontalDpi="300" verticalDpi="300" r:id="rId1"/>
  <headerFooter alignWithMargins="0">
    <oddFooter>&amp;L
      &amp;"Verdana,Regular"&amp;8Sheet &amp;P/&amp;N&amp;R&amp;8
&amp;"Verdana,Regular"&amp;A   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6"/>
  <sheetViews>
    <sheetView showZeros="0" zoomScale="90" zoomScaleNormal="90" workbookViewId="0">
      <selection activeCell="D32" sqref="D32"/>
    </sheetView>
  </sheetViews>
  <sheetFormatPr defaultColWidth="18.7109375" defaultRowHeight="21" customHeight="1"/>
  <cols>
    <col min="1" max="1" width="8.7109375" style="160" customWidth="1"/>
    <col min="2" max="8" width="11.140625" style="160" customWidth="1"/>
    <col min="9" max="9" width="4.7109375" style="160" customWidth="1"/>
    <col min="10" max="10" width="28.140625" style="160" customWidth="1"/>
    <col min="11" max="16384" width="18.7109375" style="160"/>
  </cols>
  <sheetData>
    <row r="1" spans="1:12" ht="21" customHeight="1">
      <c r="A1" s="266" t="s">
        <v>232</v>
      </c>
      <c r="B1" s="159"/>
      <c r="F1" s="159"/>
      <c r="G1" s="261"/>
      <c r="H1" s="265" t="s">
        <v>234</v>
      </c>
      <c r="I1" s="161"/>
    </row>
    <row r="2" spans="1:12" s="163" customFormat="1" ht="21" customHeight="1">
      <c r="A2" s="162" t="s">
        <v>203</v>
      </c>
      <c r="B2" s="162"/>
      <c r="H2" s="162"/>
      <c r="I2" s="162"/>
      <c r="J2" s="162"/>
    </row>
    <row r="4" spans="1:12" ht="21" customHeight="1">
      <c r="A4" s="164" t="str">
        <f ca="1">MID(CELL("filename",A1),FIND("]",CELL("filename",A1))+1,32)</f>
        <v>Luminaire Schedule</v>
      </c>
      <c r="F4" s="165" t="s">
        <v>160</v>
      </c>
      <c r="G4" s="166" t="str">
        <f>Date</f>
        <v>26.06.10</v>
      </c>
    </row>
    <row r="5" spans="1:12" ht="21" customHeight="1">
      <c r="A5" s="160" t="s">
        <v>16</v>
      </c>
      <c r="C5" s="169" t="str">
        <f>Project_Name</f>
        <v>Fife-JV</v>
      </c>
      <c r="D5" s="215"/>
      <c r="E5" s="215"/>
      <c r="F5" s="165" t="s">
        <v>161</v>
      </c>
      <c r="G5" s="166" t="str">
        <f>Prep_By</f>
        <v>N Holmes</v>
      </c>
    </row>
    <row r="6" spans="1:12" ht="21" customHeight="1">
      <c r="A6" s="160" t="s">
        <v>22</v>
      </c>
      <c r="C6" s="169" t="str">
        <f>Project_No</f>
        <v>MW502</v>
      </c>
      <c r="D6" s="216"/>
      <c r="E6" s="216"/>
    </row>
    <row r="7" spans="1:12" ht="21" customHeight="1">
      <c r="A7" s="160" t="s">
        <v>31</v>
      </c>
      <c r="C7" s="169" t="str">
        <f>Area_Zone_Level</f>
        <v>Level 00 - DB Zone E1|0|BL</v>
      </c>
      <c r="D7" s="216"/>
      <c r="E7" s="216"/>
    </row>
    <row r="8" spans="1:12" ht="21" customHeight="1">
      <c r="A8" s="160" t="s">
        <v>37</v>
      </c>
      <c r="C8" s="169" t="str">
        <f>Drawing_No</f>
        <v>CD-MS-02-L(62)1-XX-006</v>
      </c>
      <c r="D8" s="216"/>
      <c r="E8" s="216"/>
    </row>
    <row r="9" spans="1:12" ht="21" customHeight="1">
      <c r="A9" s="160" t="s">
        <v>17</v>
      </c>
      <c r="C9" s="170" t="str">
        <f>Service</f>
        <v>Lighting</v>
      </c>
    </row>
    <row r="10" spans="1:12" ht="21" customHeight="1" thickBot="1"/>
    <row r="11" spans="1:12" s="182" customFormat="1" ht="34.5" customHeight="1">
      <c r="A11" s="207" t="s">
        <v>169</v>
      </c>
      <c r="B11" s="208" t="s">
        <v>170</v>
      </c>
      <c r="C11" s="208" t="s">
        <v>171</v>
      </c>
      <c r="D11" s="208" t="s">
        <v>172</v>
      </c>
      <c r="E11" s="207" t="s">
        <v>169</v>
      </c>
      <c r="F11" s="208" t="s">
        <v>170</v>
      </c>
      <c r="G11" s="208" t="s">
        <v>171</v>
      </c>
      <c r="H11" s="207" t="s">
        <v>172</v>
      </c>
    </row>
    <row r="12" spans="1:12" ht="21" customHeight="1">
      <c r="A12" s="264" t="s">
        <v>56</v>
      </c>
      <c r="B12" s="209">
        <v>54</v>
      </c>
      <c r="C12" s="209" t="s">
        <v>221</v>
      </c>
      <c r="D12" s="210">
        <v>118</v>
      </c>
      <c r="E12" s="264" t="s">
        <v>228</v>
      </c>
      <c r="F12" s="209">
        <v>24</v>
      </c>
      <c r="G12" s="209">
        <v>4</v>
      </c>
      <c r="H12" s="211">
        <v>102</v>
      </c>
      <c r="J12" s="182"/>
      <c r="K12" s="182"/>
      <c r="L12" s="182"/>
    </row>
    <row r="13" spans="1:12" ht="21" customHeight="1">
      <c r="A13" s="264" t="s">
        <v>21</v>
      </c>
      <c r="B13" s="209">
        <v>54</v>
      </c>
      <c r="C13" s="209">
        <v>1</v>
      </c>
      <c r="D13" s="210">
        <v>61</v>
      </c>
      <c r="E13" s="264" t="s">
        <v>202</v>
      </c>
      <c r="F13" s="209"/>
      <c r="G13" s="209"/>
      <c r="H13" s="211"/>
      <c r="J13" s="182"/>
      <c r="K13" s="182"/>
      <c r="L13" s="182"/>
    </row>
    <row r="14" spans="1:12" ht="21" customHeight="1">
      <c r="A14" s="264" t="s">
        <v>30</v>
      </c>
      <c r="B14" s="209">
        <v>26</v>
      </c>
      <c r="C14" s="209">
        <v>2</v>
      </c>
      <c r="D14" s="210">
        <v>54</v>
      </c>
      <c r="E14" s="264" t="s">
        <v>44</v>
      </c>
      <c r="F14" s="209">
        <v>58</v>
      </c>
      <c r="G14" s="209">
        <v>2</v>
      </c>
      <c r="H14" s="211">
        <v>163</v>
      </c>
      <c r="J14" s="182"/>
      <c r="K14" s="182"/>
      <c r="L14" s="182"/>
    </row>
    <row r="15" spans="1:12" ht="21" customHeight="1">
      <c r="A15" s="264" t="s">
        <v>225</v>
      </c>
      <c r="B15" s="209">
        <v>18</v>
      </c>
      <c r="C15" s="209">
        <v>1</v>
      </c>
      <c r="D15" s="210">
        <v>19</v>
      </c>
      <c r="E15" s="269" t="s">
        <v>247</v>
      </c>
      <c r="F15" s="209">
        <v>54</v>
      </c>
      <c r="G15" s="209">
        <v>1</v>
      </c>
      <c r="H15" s="211">
        <v>61</v>
      </c>
      <c r="J15" s="182"/>
      <c r="K15" s="182"/>
      <c r="L15" s="182"/>
    </row>
    <row r="16" spans="1:12" ht="21" customHeight="1">
      <c r="A16" s="264" t="s">
        <v>226</v>
      </c>
      <c r="B16" s="209">
        <v>18</v>
      </c>
      <c r="C16" s="209">
        <v>2</v>
      </c>
      <c r="D16" s="210">
        <v>38</v>
      </c>
      <c r="E16" s="264" t="s">
        <v>217</v>
      </c>
      <c r="F16" s="209">
        <v>54</v>
      </c>
      <c r="G16" s="209">
        <v>1</v>
      </c>
      <c r="H16" s="211">
        <v>61</v>
      </c>
      <c r="J16" s="182"/>
      <c r="K16" s="182"/>
      <c r="L16" s="182"/>
    </row>
    <row r="17" spans="1:12" ht="21" customHeight="1">
      <c r="A17" s="264" t="s">
        <v>36</v>
      </c>
      <c r="B17" s="209">
        <v>14</v>
      </c>
      <c r="C17" s="209">
        <v>4</v>
      </c>
      <c r="D17" s="210">
        <v>62</v>
      </c>
      <c r="E17" s="264" t="s">
        <v>218</v>
      </c>
      <c r="F17" s="209">
        <v>24</v>
      </c>
      <c r="G17" s="209">
        <v>3</v>
      </c>
      <c r="H17" s="211">
        <v>79</v>
      </c>
      <c r="J17" s="182"/>
      <c r="K17" s="182"/>
      <c r="L17" s="182"/>
    </row>
    <row r="18" spans="1:12" ht="21" customHeight="1">
      <c r="A18" s="264" t="s">
        <v>220</v>
      </c>
      <c r="B18" s="209">
        <v>8</v>
      </c>
      <c r="C18" s="209">
        <v>1</v>
      </c>
      <c r="D18" s="210">
        <v>8</v>
      </c>
      <c r="E18" s="264" t="s">
        <v>222</v>
      </c>
      <c r="F18" s="209">
        <v>36</v>
      </c>
      <c r="G18" s="209">
        <v>2</v>
      </c>
      <c r="H18" s="211">
        <v>72</v>
      </c>
    </row>
    <row r="19" spans="1:12" ht="21" customHeight="1">
      <c r="A19" s="264" t="s">
        <v>219</v>
      </c>
      <c r="B19" s="209">
        <v>8</v>
      </c>
      <c r="C19" s="209">
        <v>1</v>
      </c>
      <c r="D19" s="210">
        <f>C19*B19</f>
        <v>8</v>
      </c>
      <c r="E19" s="264" t="s">
        <v>223</v>
      </c>
      <c r="F19" s="209">
        <v>70</v>
      </c>
      <c r="G19" s="209">
        <v>1</v>
      </c>
      <c r="H19" s="211">
        <v>80</v>
      </c>
    </row>
    <row r="20" spans="1:12" ht="21" customHeight="1">
      <c r="A20" s="264" t="s">
        <v>199</v>
      </c>
      <c r="B20" s="209">
        <v>26</v>
      </c>
      <c r="C20" s="209">
        <v>2</v>
      </c>
      <c r="D20" s="210">
        <v>52</v>
      </c>
      <c r="E20" s="264" t="s">
        <v>224</v>
      </c>
      <c r="F20" s="209">
        <v>12</v>
      </c>
      <c r="G20" s="209">
        <v>1</v>
      </c>
      <c r="H20" s="211">
        <v>16</v>
      </c>
    </row>
    <row r="21" spans="1:12" ht="21" customHeight="1">
      <c r="A21" s="264" t="s">
        <v>208</v>
      </c>
      <c r="B21" s="209">
        <v>14</v>
      </c>
      <c r="C21" s="209">
        <v>4</v>
      </c>
      <c r="D21" s="210">
        <v>62</v>
      </c>
      <c r="E21" s="264"/>
      <c r="F21" s="209"/>
      <c r="G21" s="209"/>
      <c r="H21" s="211"/>
    </row>
    <row r="22" spans="1:12" ht="21" customHeight="1">
      <c r="A22" s="264" t="s">
        <v>209</v>
      </c>
      <c r="B22" s="209">
        <v>54</v>
      </c>
      <c r="C22" s="209">
        <v>4</v>
      </c>
      <c r="D22" s="210">
        <v>236</v>
      </c>
      <c r="E22" s="274" t="s">
        <v>251</v>
      </c>
      <c r="F22" s="209">
        <v>100</v>
      </c>
      <c r="G22" s="209">
        <v>1</v>
      </c>
      <c r="H22" s="211">
        <v>100</v>
      </c>
    </row>
    <row r="23" spans="1:12" ht="21" customHeight="1">
      <c r="A23" s="264" t="s">
        <v>210</v>
      </c>
      <c r="B23" s="209">
        <v>54</v>
      </c>
      <c r="C23" s="209">
        <v>4</v>
      </c>
      <c r="D23" s="210">
        <v>236</v>
      </c>
      <c r="E23" s="264"/>
      <c r="F23" s="209"/>
      <c r="G23" s="209"/>
      <c r="H23" s="211"/>
    </row>
    <row r="24" spans="1:12" ht="21" customHeight="1">
      <c r="A24" s="264" t="s">
        <v>211</v>
      </c>
      <c r="B24" s="209">
        <v>14</v>
      </c>
      <c r="C24" s="209">
        <v>4</v>
      </c>
      <c r="D24" s="210">
        <v>62</v>
      </c>
      <c r="E24" s="264"/>
      <c r="F24" s="209"/>
      <c r="G24" s="209"/>
      <c r="H24" s="211"/>
    </row>
    <row r="25" spans="1:12" ht="21" customHeight="1">
      <c r="A25" s="264" t="s">
        <v>212</v>
      </c>
      <c r="B25" s="209">
        <v>26</v>
      </c>
      <c r="C25" s="209">
        <v>2</v>
      </c>
      <c r="D25" s="210">
        <v>54</v>
      </c>
      <c r="E25" s="264"/>
      <c r="F25" s="209"/>
      <c r="G25" s="209"/>
      <c r="H25" s="211"/>
    </row>
    <row r="26" spans="1:12" ht="21" customHeight="1">
      <c r="A26" s="264" t="s">
        <v>213</v>
      </c>
      <c r="B26" s="209">
        <v>54</v>
      </c>
      <c r="C26" s="209">
        <v>1</v>
      </c>
      <c r="D26" s="210">
        <v>61</v>
      </c>
      <c r="E26" s="264"/>
      <c r="F26" s="209"/>
      <c r="G26" s="209"/>
      <c r="H26" s="211"/>
    </row>
    <row r="27" spans="1:12" ht="21" customHeight="1">
      <c r="A27" s="264" t="s">
        <v>214</v>
      </c>
      <c r="B27" s="209">
        <v>54</v>
      </c>
      <c r="C27" s="209">
        <v>1</v>
      </c>
      <c r="D27" s="210">
        <v>61</v>
      </c>
      <c r="E27" s="264"/>
      <c r="F27" s="209"/>
      <c r="G27" s="209"/>
      <c r="H27" s="211"/>
    </row>
    <row r="28" spans="1:12" ht="21" customHeight="1">
      <c r="A28" s="264" t="s">
        <v>227</v>
      </c>
      <c r="B28" s="209">
        <v>54</v>
      </c>
      <c r="C28" s="209">
        <v>2</v>
      </c>
      <c r="D28" s="210">
        <v>118</v>
      </c>
      <c r="E28" s="264"/>
      <c r="F28" s="209"/>
      <c r="G28" s="209"/>
      <c r="H28" s="211"/>
    </row>
    <row r="29" spans="1:12" ht="21" customHeight="1">
      <c r="A29" s="264" t="s">
        <v>176</v>
      </c>
      <c r="B29" s="209">
        <v>55</v>
      </c>
      <c r="C29" s="209">
        <v>4</v>
      </c>
      <c r="D29" s="210">
        <v>232</v>
      </c>
      <c r="E29" s="264"/>
      <c r="F29" s="209"/>
      <c r="G29" s="209"/>
      <c r="H29" s="211"/>
    </row>
    <row r="30" spans="1:12" ht="21" customHeight="1">
      <c r="A30" s="264" t="s">
        <v>177</v>
      </c>
      <c r="B30" s="209">
        <v>24</v>
      </c>
      <c r="C30" s="209">
        <v>4</v>
      </c>
      <c r="D30" s="210">
        <v>102</v>
      </c>
      <c r="E30" s="264"/>
      <c r="F30" s="209"/>
      <c r="G30" s="209"/>
      <c r="H30" s="211"/>
    </row>
    <row r="31" spans="1:12" ht="21" customHeight="1">
      <c r="A31" s="264" t="s">
        <v>216</v>
      </c>
      <c r="B31" s="209">
        <v>14</v>
      </c>
      <c r="C31" s="209">
        <v>4</v>
      </c>
      <c r="D31" s="210">
        <v>62</v>
      </c>
      <c r="E31" s="264"/>
      <c r="F31" s="209"/>
      <c r="G31" s="209"/>
      <c r="H31" s="211"/>
    </row>
    <row r="32" spans="1:12" ht="21" customHeight="1">
      <c r="A32" s="264" t="s">
        <v>178</v>
      </c>
      <c r="B32" s="209">
        <v>49</v>
      </c>
      <c r="C32" s="209">
        <v>2</v>
      </c>
      <c r="D32" s="210">
        <v>109</v>
      </c>
      <c r="E32" s="264"/>
      <c r="F32" s="209"/>
      <c r="G32" s="209"/>
      <c r="H32" s="211"/>
    </row>
    <row r="33" spans="1:8" ht="21" customHeight="1">
      <c r="A33" s="264" t="s">
        <v>229</v>
      </c>
      <c r="B33" s="209">
        <v>36</v>
      </c>
      <c r="C33" s="209">
        <v>2</v>
      </c>
      <c r="D33" s="210">
        <v>72</v>
      </c>
      <c r="E33" s="264"/>
      <c r="F33" s="209"/>
      <c r="G33" s="209"/>
      <c r="H33" s="211"/>
    </row>
    <row r="34" spans="1:8" ht="21" customHeight="1">
      <c r="A34" s="264" t="s">
        <v>179</v>
      </c>
      <c r="B34" s="209">
        <v>55</v>
      </c>
      <c r="C34" s="209">
        <v>1</v>
      </c>
      <c r="D34" s="210">
        <v>58</v>
      </c>
      <c r="E34" s="264"/>
      <c r="F34" s="209"/>
      <c r="G34" s="209"/>
      <c r="H34" s="211"/>
    </row>
    <row r="35" spans="1:8" ht="21" customHeight="1">
      <c r="A35" s="264" t="s">
        <v>215</v>
      </c>
      <c r="B35" s="209">
        <v>14</v>
      </c>
      <c r="C35" s="209">
        <v>4</v>
      </c>
      <c r="D35" s="210">
        <v>62</v>
      </c>
      <c r="E35" s="264"/>
      <c r="F35" s="209">
        <v>50</v>
      </c>
      <c r="G35" s="209">
        <v>1</v>
      </c>
      <c r="H35" s="211">
        <v>20</v>
      </c>
    </row>
    <row r="36" spans="1:8" ht="21" customHeight="1" thickBot="1">
      <c r="A36" s="183"/>
      <c r="B36" s="212"/>
      <c r="C36" s="212"/>
      <c r="D36" s="213"/>
      <c r="E36" s="183"/>
      <c r="F36" s="212"/>
      <c r="G36" s="212"/>
      <c r="H36" s="214"/>
    </row>
    <row r="37" spans="1:8" ht="21" customHeight="1">
      <c r="A37" s="263"/>
      <c r="B37" s="263"/>
      <c r="C37" s="263"/>
      <c r="D37" s="263"/>
      <c r="H37" s="263"/>
    </row>
    <row r="38" spans="1:8" ht="21" customHeight="1">
      <c r="A38" s="263"/>
      <c r="B38" s="263"/>
      <c r="C38" s="263"/>
      <c r="D38" s="263"/>
      <c r="H38" s="263"/>
    </row>
    <row r="39" spans="1:8" ht="21" customHeight="1">
      <c r="A39" s="263"/>
      <c r="B39" s="263"/>
      <c r="C39" s="263"/>
      <c r="D39" s="263"/>
      <c r="H39" s="263"/>
    </row>
    <row r="40" spans="1:8" ht="21" customHeight="1">
      <c r="A40" s="263"/>
      <c r="B40" s="263"/>
      <c r="C40" s="263"/>
      <c r="D40" s="263"/>
      <c r="H40" s="263"/>
    </row>
    <row r="41" spans="1:8" ht="21" customHeight="1">
      <c r="A41" s="263"/>
      <c r="B41" s="263"/>
      <c r="C41" s="263"/>
      <c r="D41" s="263"/>
      <c r="H41" s="263"/>
    </row>
    <row r="42" spans="1:8" ht="21" customHeight="1">
      <c r="A42" s="263"/>
      <c r="B42" s="263"/>
      <c r="C42" s="263"/>
      <c r="D42" s="263"/>
      <c r="H42" s="263"/>
    </row>
    <row r="43" spans="1:8" ht="21" customHeight="1">
      <c r="A43" s="263"/>
      <c r="B43" s="263"/>
      <c r="C43" s="263"/>
      <c r="D43" s="263"/>
      <c r="H43" s="263"/>
    </row>
    <row r="44" spans="1:8" ht="21" customHeight="1">
      <c r="A44" s="263"/>
      <c r="B44" s="263"/>
      <c r="C44" s="263"/>
      <c r="D44" s="263"/>
      <c r="H44" s="263"/>
    </row>
    <row r="45" spans="1:8" ht="21" customHeight="1">
      <c r="A45" s="263"/>
      <c r="B45" s="263"/>
      <c r="C45" s="263"/>
      <c r="D45" s="263"/>
      <c r="H45" s="263"/>
    </row>
    <row r="46" spans="1:8" ht="21" customHeight="1">
      <c r="A46" s="263"/>
      <c r="B46" s="263"/>
      <c r="C46" s="263"/>
      <c r="D46" s="263"/>
      <c r="H46" s="263"/>
    </row>
    <row r="47" spans="1:8" ht="21" customHeight="1">
      <c r="A47" s="263"/>
      <c r="B47" s="263"/>
      <c r="C47" s="263"/>
      <c r="D47" s="263"/>
      <c r="H47" s="263"/>
    </row>
    <row r="48" spans="1:8" ht="21" customHeight="1">
      <c r="A48" s="263"/>
      <c r="B48" s="263"/>
      <c r="C48" s="263"/>
      <c r="D48" s="263"/>
      <c r="H48" s="263"/>
    </row>
    <row r="49" spans="1:8" ht="21" customHeight="1">
      <c r="A49" s="263"/>
      <c r="B49" s="263"/>
      <c r="C49" s="263"/>
      <c r="D49" s="263"/>
      <c r="H49" s="263"/>
    </row>
    <row r="50" spans="1:8" ht="21" customHeight="1">
      <c r="A50" s="263"/>
      <c r="B50" s="263"/>
      <c r="C50" s="263"/>
      <c r="D50" s="263"/>
      <c r="H50" s="263"/>
    </row>
    <row r="51" spans="1:8" ht="21" customHeight="1">
      <c r="A51" s="263"/>
      <c r="B51" s="263"/>
      <c r="C51" s="263"/>
      <c r="D51" s="263"/>
      <c r="H51" s="263"/>
    </row>
    <row r="52" spans="1:8" ht="21" customHeight="1">
      <c r="A52" s="263"/>
      <c r="B52" s="263"/>
      <c r="C52" s="263"/>
      <c r="D52" s="263"/>
      <c r="H52" s="263"/>
    </row>
    <row r="53" spans="1:8" ht="21" customHeight="1">
      <c r="A53" s="263"/>
      <c r="B53" s="263"/>
      <c r="C53" s="263"/>
      <c r="D53" s="263"/>
      <c r="H53" s="263"/>
    </row>
    <row r="54" spans="1:8" ht="21" customHeight="1">
      <c r="A54" s="263"/>
      <c r="B54" s="263"/>
      <c r="C54" s="263"/>
      <c r="D54" s="263"/>
      <c r="H54" s="263"/>
    </row>
    <row r="55" spans="1:8" ht="21" customHeight="1">
      <c r="A55" s="263"/>
      <c r="B55" s="263"/>
      <c r="C55" s="263"/>
      <c r="D55" s="263"/>
      <c r="H55" s="263"/>
    </row>
    <row r="56" spans="1:8" ht="21" customHeight="1">
      <c r="A56" s="263"/>
      <c r="B56" s="263"/>
      <c r="C56" s="263"/>
      <c r="D56" s="263"/>
      <c r="H56" s="263"/>
    </row>
  </sheetData>
  <pageMargins left="0.98425196850393704" right="0.33" top="0.23622047244094491" bottom="0.28000000000000003" header="0.23622047244094491" footer="0.37"/>
  <pageSetup paperSize="9" orientation="portrait" horizontalDpi="300" verticalDpi="300" r:id="rId1"/>
  <headerFooter alignWithMargins="0">
    <oddFooter>&amp;L
      &amp;"Verdana,Regular"&amp;8Sheet &amp;P/&amp;N&amp;R&amp;8
&amp;"Verdana,Regular"&amp;A   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O1171"/>
  <sheetViews>
    <sheetView showZeros="0" topLeftCell="A7" zoomScale="95" zoomScaleNormal="95" workbookViewId="0">
      <selection activeCell="L29" sqref="L29"/>
    </sheetView>
  </sheetViews>
  <sheetFormatPr defaultColWidth="8.85546875" defaultRowHeight="24.6" customHeight="1"/>
  <cols>
    <col min="1" max="1" width="8.7109375" style="55" customWidth="1"/>
    <col min="2" max="2" width="8.7109375" style="57" customWidth="1"/>
    <col min="3" max="3" width="8.7109375" style="55" customWidth="1"/>
    <col min="4" max="4" width="8.7109375" style="56" customWidth="1"/>
    <col min="5" max="5" width="8.7109375" style="55" customWidth="1"/>
    <col min="6" max="6" width="8.7109375" style="56" customWidth="1"/>
    <col min="7" max="7" width="8.7109375" style="57" customWidth="1"/>
    <col min="8" max="9" width="8.7109375" style="55" customWidth="1"/>
    <col min="10" max="10" width="8.7109375" style="57" customWidth="1"/>
    <col min="11" max="11" width="8.28515625" style="57" customWidth="1"/>
    <col min="12" max="21" width="8.7109375" style="55" customWidth="1"/>
    <col min="22" max="22" width="8.28515625" style="55" customWidth="1"/>
    <col min="23" max="27" width="8.85546875" style="55" customWidth="1"/>
    <col min="28" max="28" width="8.7109375" style="55" customWidth="1"/>
    <col min="29" max="29" width="9.42578125" style="55" customWidth="1"/>
    <col min="30" max="31" width="10.7109375" style="60" customWidth="1"/>
    <col min="32" max="32" width="10.7109375" style="11" customWidth="1"/>
    <col min="33" max="33" width="9.140625" style="11" customWidth="1"/>
    <col min="34" max="34" width="30.7109375" style="34" customWidth="1"/>
    <col min="35" max="37" width="15.42578125" style="11" customWidth="1"/>
    <col min="38" max="38" width="9.5703125" style="11" customWidth="1"/>
    <col min="39" max="41" width="3.140625" style="102" customWidth="1"/>
    <col min="42" max="42" width="4.7109375" style="102" customWidth="1"/>
    <col min="43" max="43" width="10.5703125" style="103" customWidth="1"/>
    <col min="44" max="48" width="10.5703125" style="102" customWidth="1"/>
    <col min="49" max="49" width="10.5703125" style="104" customWidth="1"/>
    <col min="50" max="51" width="10.5703125" style="102" customWidth="1"/>
    <col min="52" max="52" width="4.7109375" style="105" customWidth="1"/>
    <col min="53" max="53" width="9.140625" style="11" customWidth="1"/>
    <col min="54" max="54" width="3.140625" style="11" customWidth="1"/>
    <col min="55" max="56" width="3.140625" style="55" customWidth="1"/>
    <col min="57" max="57" width="4.7109375" style="55" customWidth="1"/>
    <col min="58" max="66" width="10.5703125" style="55" customWidth="1"/>
    <col min="67" max="67" width="4.7109375" style="55" customWidth="1"/>
    <col min="68" max="69" width="8.85546875" style="55" customWidth="1"/>
    <col min="70" max="16384" width="8.85546875" style="55"/>
  </cols>
  <sheetData>
    <row r="1" spans="1:67" s="7" customFormat="1" ht="17.45" customHeight="1" thickBot="1">
      <c r="A1" s="266"/>
      <c r="B1" s="2"/>
      <c r="C1" s="3"/>
      <c r="D1" s="4"/>
      <c r="E1" s="18"/>
      <c r="F1" s="19"/>
      <c r="I1" s="4"/>
      <c r="J1" s="4"/>
      <c r="K1" s="6" t="s">
        <v>245</v>
      </c>
      <c r="L1" s="266"/>
      <c r="M1" s="2"/>
      <c r="N1" s="3"/>
      <c r="O1" s="4"/>
      <c r="P1" s="18"/>
      <c r="Q1" s="19"/>
      <c r="T1" s="4"/>
      <c r="U1" s="4"/>
      <c r="V1" s="6" t="s">
        <v>245</v>
      </c>
      <c r="AF1" s="8"/>
      <c r="AG1" s="8"/>
      <c r="AH1" s="9"/>
      <c r="AI1" s="10"/>
      <c r="AJ1" s="11"/>
      <c r="AK1" s="11"/>
      <c r="AL1" s="12"/>
      <c r="AM1" s="13"/>
      <c r="AN1" s="13"/>
      <c r="AO1" s="13"/>
      <c r="AP1" s="13"/>
      <c r="AQ1" s="14"/>
      <c r="AR1" s="13"/>
      <c r="AS1" s="13"/>
      <c r="AT1" s="13"/>
      <c r="AU1" s="15" t="s">
        <v>0</v>
      </c>
      <c r="AV1" s="15"/>
      <c r="AW1" s="16"/>
      <c r="AX1" s="13"/>
      <c r="AY1" s="13"/>
      <c r="AZ1" s="13"/>
      <c r="BA1" s="2"/>
      <c r="BB1" s="13"/>
      <c r="BC1" s="13"/>
      <c r="BD1" s="13"/>
      <c r="BE1" s="13"/>
      <c r="BF1" s="14"/>
      <c r="BG1" s="13"/>
      <c r="BH1" s="13"/>
      <c r="BI1" s="13"/>
      <c r="BJ1" s="15" t="s">
        <v>1</v>
      </c>
      <c r="BK1" s="15"/>
      <c r="BL1" s="16"/>
      <c r="BM1" s="13"/>
      <c r="BN1" s="13"/>
      <c r="BO1" s="13"/>
    </row>
    <row r="2" spans="1:67" s="22" customFormat="1" ht="13.15" customHeight="1">
      <c r="A2" s="1"/>
      <c r="B2" s="17"/>
      <c r="C2" s="18"/>
      <c r="D2" s="19"/>
      <c r="I2" s="17"/>
      <c r="J2" s="17"/>
      <c r="K2" s="20"/>
      <c r="L2" s="1"/>
      <c r="M2" s="17"/>
      <c r="N2" s="18"/>
      <c r="O2" s="19"/>
      <c r="T2" s="17"/>
      <c r="U2" s="17"/>
      <c r="V2" s="20"/>
      <c r="AB2" s="17"/>
      <c r="AF2" s="23"/>
      <c r="AG2" s="23"/>
      <c r="AH2" s="24"/>
      <c r="AI2" s="21"/>
      <c r="AJ2" s="11"/>
      <c r="AK2" s="11"/>
      <c r="AL2" s="21"/>
      <c r="AM2" s="25"/>
      <c r="AN2" s="26" t="s">
        <v>2</v>
      </c>
      <c r="AO2" s="25"/>
      <c r="AP2" s="27" t="s">
        <v>3</v>
      </c>
      <c r="AQ2" s="28" t="s">
        <v>4</v>
      </c>
      <c r="AR2" s="28" t="s">
        <v>5</v>
      </c>
      <c r="AS2" s="28" t="s">
        <v>6</v>
      </c>
      <c r="AT2" s="28" t="s">
        <v>7</v>
      </c>
      <c r="AU2" s="28" t="s">
        <v>8</v>
      </c>
      <c r="AV2" s="28" t="s">
        <v>9</v>
      </c>
      <c r="AW2" s="28" t="s">
        <v>10</v>
      </c>
      <c r="AX2" s="28" t="s">
        <v>11</v>
      </c>
      <c r="AY2" s="28" t="s">
        <v>12</v>
      </c>
      <c r="AZ2" s="29"/>
      <c r="BA2" s="17"/>
      <c r="BB2" s="25"/>
      <c r="BC2" s="26" t="s">
        <v>2</v>
      </c>
      <c r="BD2" s="25"/>
      <c r="BE2" s="27" t="s">
        <v>3</v>
      </c>
      <c r="BF2" s="28" t="s">
        <v>4</v>
      </c>
      <c r="BG2" s="28" t="s">
        <v>5</v>
      </c>
      <c r="BH2" s="28" t="s">
        <v>6</v>
      </c>
      <c r="BI2" s="28" t="s">
        <v>7</v>
      </c>
      <c r="BJ2" s="28" t="s">
        <v>8</v>
      </c>
      <c r="BK2" s="28" t="s">
        <v>9</v>
      </c>
      <c r="BL2" s="28" t="s">
        <v>10</v>
      </c>
      <c r="BM2" s="28" t="s">
        <v>11</v>
      </c>
      <c r="BN2" s="28" t="s">
        <v>12</v>
      </c>
      <c r="BO2" s="29"/>
    </row>
    <row r="3" spans="1:67" s="7" customFormat="1" ht="13.15" customHeight="1">
      <c r="A3" s="30" t="s">
        <v>13</v>
      </c>
      <c r="B3" s="18"/>
      <c r="C3" s="18"/>
      <c r="D3" s="31"/>
      <c r="E3" s="18"/>
      <c r="F3" s="31"/>
      <c r="I3" s="32"/>
      <c r="J3" s="2"/>
      <c r="K3" s="20"/>
      <c r="L3" s="30" t="str">
        <f t="shared" ref="L3:L8" si="0">A3</f>
        <v>CIRCUIT  CALCULATION  SHEET:</v>
      </c>
      <c r="M3" s="18"/>
      <c r="N3" s="18"/>
      <c r="O3" s="31"/>
      <c r="P3" s="18"/>
      <c r="Q3" s="31"/>
      <c r="T3" s="32"/>
      <c r="U3" s="2"/>
      <c r="V3" s="20"/>
      <c r="AD3" s="7" t="s">
        <v>15</v>
      </c>
      <c r="AF3" s="11"/>
      <c r="AG3" s="11"/>
      <c r="AH3" s="34"/>
      <c r="AI3" s="11"/>
      <c r="AJ3" s="11"/>
      <c r="AK3" s="11"/>
      <c r="AL3" s="11"/>
      <c r="AM3" s="35"/>
      <c r="AN3" s="36"/>
      <c r="AO3" s="35"/>
      <c r="AP3" s="37"/>
      <c r="AQ3" s="38" t="str">
        <f t="shared" ref="AQ3:AY3" si="1">AQ2</f>
        <v>BS 7671</v>
      </c>
      <c r="AR3" s="38" t="str">
        <f t="shared" si="1"/>
        <v>ABB</v>
      </c>
      <c r="AS3" s="38" t="str">
        <f t="shared" si="1"/>
        <v>Crabtree</v>
      </c>
      <c r="AT3" s="38" t="str">
        <f t="shared" si="1"/>
        <v>Dorman</v>
      </c>
      <c r="AU3" s="38" t="str">
        <f t="shared" si="1"/>
        <v>Hager</v>
      </c>
      <c r="AV3" s="38" t="str">
        <f t="shared" si="1"/>
        <v>MEM</v>
      </c>
      <c r="AW3" s="38" t="str">
        <f t="shared" si="1"/>
        <v>Schneider</v>
      </c>
      <c r="AX3" s="38" t="str">
        <f t="shared" si="1"/>
        <v>Siemens</v>
      </c>
      <c r="AY3" s="38" t="str">
        <f t="shared" si="1"/>
        <v>Square D</v>
      </c>
      <c r="AZ3" s="39"/>
      <c r="BA3" s="11"/>
      <c r="BB3" s="35"/>
      <c r="BC3" s="36"/>
      <c r="BD3" s="35"/>
      <c r="BE3" s="37"/>
      <c r="BF3" s="38" t="str">
        <f t="shared" ref="BF3:BN3" si="2">BF2</f>
        <v>BS 7671</v>
      </c>
      <c r="BG3" s="38" t="str">
        <f t="shared" si="2"/>
        <v>ABB</v>
      </c>
      <c r="BH3" s="38" t="str">
        <f t="shared" si="2"/>
        <v>Crabtree</v>
      </c>
      <c r="BI3" s="38" t="str">
        <f t="shared" si="2"/>
        <v>Dorman</v>
      </c>
      <c r="BJ3" s="38" t="str">
        <f t="shared" si="2"/>
        <v>Hager</v>
      </c>
      <c r="BK3" s="38" t="str">
        <f t="shared" si="2"/>
        <v>MEM</v>
      </c>
      <c r="BL3" s="38" t="str">
        <f t="shared" si="2"/>
        <v>Schneider</v>
      </c>
      <c r="BM3" s="38" t="str">
        <f t="shared" si="2"/>
        <v>Siemens</v>
      </c>
      <c r="BN3" s="38" t="str">
        <f t="shared" si="2"/>
        <v>Square D</v>
      </c>
      <c r="BO3" s="39"/>
    </row>
    <row r="4" spans="1:67" s="7" customFormat="1" ht="13.15" customHeight="1">
      <c r="A4" s="31" t="s">
        <v>16</v>
      </c>
      <c r="C4" s="316" t="str">
        <f>Project_Name</f>
        <v>Fife-JV</v>
      </c>
      <c r="D4" s="283"/>
      <c r="E4" s="283"/>
      <c r="F4" s="283"/>
      <c r="G4" s="283"/>
      <c r="I4" s="33" t="s">
        <v>14</v>
      </c>
      <c r="J4" s="317" t="str">
        <f>Prep_By</f>
        <v>N Holmes</v>
      </c>
      <c r="K4" s="318"/>
      <c r="L4" s="31" t="str">
        <f t="shared" si="0"/>
        <v>Project Name:</v>
      </c>
      <c r="N4" s="316" t="str">
        <f>Project_Name</f>
        <v>Fife-JV</v>
      </c>
      <c r="O4" s="283"/>
      <c r="P4" s="283"/>
      <c r="Q4" s="283"/>
      <c r="T4" s="33" t="str">
        <f>I4</f>
        <v>Prepared By:</v>
      </c>
      <c r="U4" s="317" t="str">
        <f>Prep_By</f>
        <v>N Holmes</v>
      </c>
      <c r="V4" s="318"/>
      <c r="AD4" s="22" t="s">
        <v>19</v>
      </c>
      <c r="AF4" s="40"/>
      <c r="AG4" s="41"/>
      <c r="AH4" s="42"/>
      <c r="AI4" s="5"/>
      <c r="AJ4" s="5"/>
      <c r="AK4" s="5"/>
      <c r="AL4" s="5"/>
      <c r="AM4" s="43"/>
      <c r="AN4" s="44" t="s">
        <v>20</v>
      </c>
      <c r="AO4" s="43"/>
      <c r="AP4" s="45" t="s">
        <v>21</v>
      </c>
      <c r="AQ4" s="46">
        <v>8</v>
      </c>
      <c r="AR4" s="46">
        <v>7.7</v>
      </c>
      <c r="AS4" s="46"/>
      <c r="AT4" s="46"/>
      <c r="AU4" s="46">
        <v>8.8000000000000007</v>
      </c>
      <c r="AV4" s="46"/>
      <c r="AW4" s="46">
        <v>7.6</v>
      </c>
      <c r="AX4" s="46"/>
      <c r="AY4" s="46"/>
      <c r="AZ4" s="47"/>
      <c r="BA4" s="5"/>
      <c r="BB4" s="43"/>
      <c r="BC4" s="44" t="s">
        <v>20</v>
      </c>
      <c r="BD4" s="43"/>
      <c r="BE4" s="45" t="s">
        <v>21</v>
      </c>
      <c r="BF4" s="46">
        <v>8</v>
      </c>
      <c r="BG4" s="46">
        <v>7.7</v>
      </c>
      <c r="BH4" s="46"/>
      <c r="BI4" s="46"/>
      <c r="BJ4" s="46">
        <v>8</v>
      </c>
      <c r="BK4" s="46"/>
      <c r="BL4" s="46">
        <v>7.6</v>
      </c>
      <c r="BM4" s="46"/>
      <c r="BN4" s="46"/>
      <c r="BO4" s="47"/>
    </row>
    <row r="5" spans="1:67" s="22" customFormat="1" ht="13.15" customHeight="1">
      <c r="A5" s="31" t="s">
        <v>22</v>
      </c>
      <c r="C5" s="316" t="str">
        <f>Project_No</f>
        <v>MW502</v>
      </c>
      <c r="D5" s="283"/>
      <c r="E5" s="283"/>
      <c r="F5" s="283"/>
      <c r="G5" s="283"/>
      <c r="I5" s="33" t="s">
        <v>18</v>
      </c>
      <c r="J5" s="319" t="str">
        <f>Date</f>
        <v>26.06.10</v>
      </c>
      <c r="K5" s="318"/>
      <c r="L5" s="31" t="str">
        <f t="shared" si="0"/>
        <v>Project Nº:</v>
      </c>
      <c r="N5" s="316" t="str">
        <f>Project_No</f>
        <v>MW502</v>
      </c>
      <c r="O5" s="283"/>
      <c r="P5" s="283"/>
      <c r="Q5" s="283"/>
      <c r="T5" s="33" t="str">
        <f>I5</f>
        <v>Date Prepared:</v>
      </c>
      <c r="U5" s="319" t="str">
        <f>Date</f>
        <v>26.06.10</v>
      </c>
      <c r="V5" s="318"/>
      <c r="AD5" s="22" t="s">
        <v>25</v>
      </c>
      <c r="AF5" s="40"/>
      <c r="AG5" s="41"/>
      <c r="AH5" s="42"/>
      <c r="AI5" s="5" t="s">
        <v>253</v>
      </c>
      <c r="AJ5" s="5" t="s">
        <v>254</v>
      </c>
      <c r="AK5" s="5" t="s">
        <v>255</v>
      </c>
      <c r="AL5" s="5"/>
      <c r="AM5" s="48"/>
      <c r="AN5" s="49" t="s">
        <v>29</v>
      </c>
      <c r="AO5" s="48"/>
      <c r="AP5" s="50" t="s">
        <v>30</v>
      </c>
      <c r="AQ5" s="51">
        <v>4</v>
      </c>
      <c r="AR5" s="51">
        <v>3.8</v>
      </c>
      <c r="AS5" s="51"/>
      <c r="AT5" s="51"/>
      <c r="AU5" s="46">
        <v>8.8000000000000007</v>
      </c>
      <c r="AV5" s="51"/>
      <c r="AW5" s="51">
        <v>4.8899999999999997</v>
      </c>
      <c r="AX5" s="51"/>
      <c r="AY5" s="46"/>
      <c r="AZ5" s="52"/>
      <c r="BA5" s="5"/>
      <c r="BB5" s="48"/>
      <c r="BC5" s="49" t="s">
        <v>29</v>
      </c>
      <c r="BD5" s="48"/>
      <c r="BE5" s="50" t="s">
        <v>30</v>
      </c>
      <c r="BF5" s="51">
        <v>4</v>
      </c>
      <c r="BG5" s="51">
        <v>3.8</v>
      </c>
      <c r="BH5" s="51"/>
      <c r="BI5" s="51"/>
      <c r="BJ5" s="46">
        <v>4</v>
      </c>
      <c r="BK5" s="51"/>
      <c r="BL5" s="51">
        <v>3.88</v>
      </c>
      <c r="BM5" s="51"/>
      <c r="BN5" s="46"/>
      <c r="BO5" s="52"/>
    </row>
    <row r="6" spans="1:67" s="22" customFormat="1" ht="13.15" customHeight="1">
      <c r="A6" s="31" t="s">
        <v>31</v>
      </c>
      <c r="C6" s="316" t="str">
        <f>Area_Zone_Level</f>
        <v>Level 00 - DB Zone E1|0|BL</v>
      </c>
      <c r="D6" s="283"/>
      <c r="E6" s="283"/>
      <c r="F6" s="283"/>
      <c r="G6" s="283"/>
      <c r="I6" s="33" t="s">
        <v>24</v>
      </c>
      <c r="J6" s="317" t="s">
        <v>243</v>
      </c>
      <c r="K6" s="318"/>
      <c r="L6" s="31" t="str">
        <f t="shared" si="0"/>
        <v>Area/Zone/Level:</v>
      </c>
      <c r="N6" s="316" t="str">
        <f>Area_Zone_Level</f>
        <v>Level 00 - DB Zone E1|0|BL</v>
      </c>
      <c r="O6" s="283"/>
      <c r="P6" s="283"/>
      <c r="Q6" s="283"/>
      <c r="T6" s="33" t="str">
        <f>I6</f>
        <v>Revision:</v>
      </c>
      <c r="U6" s="317" t="str">
        <f>J6</f>
        <v>C1</v>
      </c>
      <c r="V6" s="318"/>
      <c r="AD6" s="22" t="s">
        <v>34</v>
      </c>
      <c r="AF6" s="40"/>
      <c r="AG6" s="41"/>
      <c r="AH6" s="53" t="s">
        <v>35</v>
      </c>
      <c r="AI6" s="54">
        <f>IF(AND(homerun_csa=1.5,homerun_tp=70),16,IF(AND(homerun_csa=2.5,homerun_tp=70),25,IF(AND(homerun_csa=4,homerun_tp=70),34,IF(AND(homerun_csa=6,homerun_tp=70),44,"ERR"))))</f>
        <v>34</v>
      </c>
      <c r="AJ6" s="54">
        <f>IF(AND(extender_csa=2.5,extender_tp=70),30,"ERR")</f>
        <v>30</v>
      </c>
      <c r="AK6" s="54">
        <f>IF(AND(SD_csa=1.5,SD_tp=70),16,IF(AND(SD_csa=2.5,SD_tp=70),25,"ERR"))</f>
        <v>16</v>
      </c>
      <c r="AL6" s="5"/>
      <c r="AM6" s="48"/>
      <c r="AN6" s="49" t="s">
        <v>29</v>
      </c>
      <c r="AO6" s="48"/>
      <c r="AP6" s="50" t="s">
        <v>36</v>
      </c>
      <c r="AQ6" s="51">
        <v>2</v>
      </c>
      <c r="AR6" s="51">
        <v>2.7</v>
      </c>
      <c r="AS6" s="51"/>
      <c r="AT6" s="51"/>
      <c r="AU6" s="46">
        <v>8.8000000000000007</v>
      </c>
      <c r="AV6" s="51"/>
      <c r="AW6" s="51">
        <v>4.8899999999999997</v>
      </c>
      <c r="AX6" s="51"/>
      <c r="AY6" s="46"/>
      <c r="AZ6" s="52"/>
      <c r="BA6" s="5"/>
      <c r="BB6" s="48"/>
      <c r="BC6" s="49" t="s">
        <v>29</v>
      </c>
      <c r="BD6" s="48"/>
      <c r="BE6" s="50" t="s">
        <v>36</v>
      </c>
      <c r="BF6" s="51">
        <v>2</v>
      </c>
      <c r="BG6" s="51">
        <v>2.7</v>
      </c>
      <c r="BH6" s="51"/>
      <c r="BI6" s="51"/>
      <c r="BJ6" s="46">
        <v>1</v>
      </c>
      <c r="BK6" s="51"/>
      <c r="BL6" s="51">
        <v>2.74</v>
      </c>
      <c r="BM6" s="51"/>
      <c r="BN6" s="46"/>
      <c r="BO6" s="52"/>
    </row>
    <row r="7" spans="1:67" s="22" customFormat="1" ht="13.15" customHeight="1">
      <c r="A7" s="31" t="s">
        <v>37</v>
      </c>
      <c r="C7" s="316" t="str">
        <f>Drawing_No</f>
        <v>CD-MS-02-L(62)1-XX-006</v>
      </c>
      <c r="D7" s="283"/>
      <c r="E7" s="283"/>
      <c r="F7" s="283"/>
      <c r="G7" s="283"/>
      <c r="I7" s="33" t="s">
        <v>33</v>
      </c>
      <c r="J7" s="317"/>
      <c r="K7" s="318"/>
      <c r="L7" s="31" t="str">
        <f t="shared" si="0"/>
        <v>Drawing Nº:</v>
      </c>
      <c r="N7" s="316" t="str">
        <f>Drawing_No</f>
        <v>CD-MS-02-L(62)1-XX-006</v>
      </c>
      <c r="O7" s="283"/>
      <c r="P7" s="283"/>
      <c r="Q7" s="283"/>
      <c r="T7" s="33" t="str">
        <f>I7</f>
        <v>Checked By:</v>
      </c>
      <c r="U7" s="317">
        <f>J7</f>
        <v>0</v>
      </c>
      <c r="V7" s="318"/>
      <c r="AD7" s="22" t="s">
        <v>39</v>
      </c>
      <c r="AF7" s="40"/>
      <c r="AG7" s="41"/>
      <c r="AH7" s="34"/>
      <c r="AI7" s="55"/>
      <c r="AJ7" s="55"/>
      <c r="AK7" s="55"/>
      <c r="AL7" s="5"/>
      <c r="AM7" s="48"/>
      <c r="AN7" s="49" t="s">
        <v>40</v>
      </c>
      <c r="AO7" s="48"/>
      <c r="AP7" s="50" t="s">
        <v>21</v>
      </c>
      <c r="AQ7" s="51">
        <v>4.8</v>
      </c>
      <c r="AR7" s="51">
        <v>4.5999999999999996</v>
      </c>
      <c r="AS7" s="51"/>
      <c r="AT7" s="51"/>
      <c r="AU7" s="51">
        <v>5.33</v>
      </c>
      <c r="AV7" s="51"/>
      <c r="AW7" s="51">
        <v>4.5999999999999996</v>
      </c>
      <c r="AX7" s="51"/>
      <c r="AY7" s="51"/>
      <c r="AZ7" s="52"/>
      <c r="BA7" s="5"/>
      <c r="BB7" s="48"/>
      <c r="BC7" s="49" t="s">
        <v>40</v>
      </c>
      <c r="BD7" s="48"/>
      <c r="BE7" s="50" t="s">
        <v>21</v>
      </c>
      <c r="BF7" s="51">
        <v>4.8</v>
      </c>
      <c r="BG7" s="51">
        <v>4.5999999999999996</v>
      </c>
      <c r="BH7" s="51"/>
      <c r="BI7" s="51"/>
      <c r="BJ7" s="51">
        <v>4.8</v>
      </c>
      <c r="BK7" s="51"/>
      <c r="BL7" s="51">
        <v>4.5999999999999996</v>
      </c>
      <c r="BM7" s="51"/>
      <c r="BN7" s="51"/>
      <c r="BO7" s="52"/>
    </row>
    <row r="8" spans="1:67" s="22" customFormat="1" ht="13.15" customHeight="1">
      <c r="A8" s="31" t="s">
        <v>17</v>
      </c>
      <c r="B8" s="7"/>
      <c r="C8" s="301" t="str">
        <f>Service</f>
        <v>Lighting</v>
      </c>
      <c r="D8" s="302"/>
      <c r="E8" s="302"/>
      <c r="F8" s="283"/>
      <c r="G8" s="283"/>
      <c r="J8" s="303" t="s">
        <v>242</v>
      </c>
      <c r="K8" s="304"/>
      <c r="L8" s="31" t="str">
        <f t="shared" si="0"/>
        <v>Service:</v>
      </c>
      <c r="M8" s="7"/>
      <c r="N8" s="301" t="str">
        <f>Service</f>
        <v>Lighting</v>
      </c>
      <c r="O8" s="302"/>
      <c r="P8" s="302"/>
      <c r="Q8" s="19"/>
      <c r="U8" s="303" t="str">
        <f>J8</f>
        <v>UCVD May 2010 V4.3</v>
      </c>
      <c r="V8" s="304"/>
      <c r="AB8" s="17"/>
      <c r="AE8" s="21"/>
      <c r="AF8" s="40"/>
      <c r="AG8" s="41"/>
      <c r="AH8" s="53" t="s">
        <v>41</v>
      </c>
      <c r="AI8" s="54">
        <f>IF(homerun_csa=1.5,32,IF(homerun_csa=2.5,19,IF(homerun_csa=4,12,IF(homerun_csa=6,7.8,"ERR"))))</f>
        <v>12</v>
      </c>
      <c r="AJ8" s="54">
        <f>IF(extender_csa=2.5,18,"ERR")</f>
        <v>18</v>
      </c>
      <c r="AK8" s="54">
        <f>IF(SD_csa=1.5,32,IF(SD_csa=2.5,19,"ERR"))</f>
        <v>32</v>
      </c>
      <c r="AL8" s="5"/>
      <c r="AM8" s="48"/>
      <c r="AN8" s="49" t="s">
        <v>29</v>
      </c>
      <c r="AO8" s="48"/>
      <c r="AP8" s="50" t="s">
        <v>30</v>
      </c>
      <c r="AQ8" s="51">
        <v>2.4</v>
      </c>
      <c r="AR8" s="51">
        <v>2.2000000000000002</v>
      </c>
      <c r="AS8" s="51"/>
      <c r="AT8" s="51"/>
      <c r="AU8" s="51">
        <v>5.33</v>
      </c>
      <c r="AV8" s="51"/>
      <c r="AW8" s="51">
        <v>2.95</v>
      </c>
      <c r="AX8" s="51"/>
      <c r="AY8" s="51"/>
      <c r="AZ8" s="52"/>
      <c r="BA8" s="5"/>
      <c r="BB8" s="48"/>
      <c r="BC8" s="49" t="s">
        <v>29</v>
      </c>
      <c r="BD8" s="48"/>
      <c r="BE8" s="50" t="s">
        <v>30</v>
      </c>
      <c r="BF8" s="51">
        <v>2.4</v>
      </c>
      <c r="BG8" s="51">
        <v>2.2000000000000002</v>
      </c>
      <c r="BH8" s="51"/>
      <c r="BI8" s="51"/>
      <c r="BJ8" s="51">
        <v>2.4</v>
      </c>
      <c r="BK8" s="51"/>
      <c r="BL8" s="51">
        <v>2.2999999999999998</v>
      </c>
      <c r="BM8" s="51"/>
      <c r="BN8" s="51"/>
      <c r="BO8" s="52"/>
    </row>
    <row r="9" spans="1:67" s="7" customFormat="1" ht="13.15" customHeight="1">
      <c r="X9" s="9"/>
      <c r="AD9" s="22"/>
      <c r="AH9" s="34"/>
      <c r="AI9" s="55"/>
      <c r="AJ9" s="55"/>
      <c r="AK9" s="55"/>
      <c r="AL9" s="5"/>
      <c r="AM9" s="48"/>
      <c r="AN9" s="49" t="s">
        <v>29</v>
      </c>
      <c r="AO9" s="48"/>
      <c r="AP9" s="50" t="s">
        <v>36</v>
      </c>
      <c r="AQ9" s="51">
        <v>1.2</v>
      </c>
      <c r="AR9" s="51">
        <v>1.6</v>
      </c>
      <c r="AS9" s="51"/>
      <c r="AT9" s="51"/>
      <c r="AU9" s="51">
        <v>5.33</v>
      </c>
      <c r="AV9" s="51"/>
      <c r="AW9" s="51">
        <v>2.95</v>
      </c>
      <c r="AX9" s="51"/>
      <c r="AY9" s="51"/>
      <c r="AZ9" s="52"/>
      <c r="BA9" s="5"/>
      <c r="BB9" s="48"/>
      <c r="BC9" s="49" t="s">
        <v>29</v>
      </c>
      <c r="BD9" s="48"/>
      <c r="BE9" s="50" t="s">
        <v>36</v>
      </c>
      <c r="BF9" s="51">
        <v>1.2</v>
      </c>
      <c r="BG9" s="51">
        <v>1.6</v>
      </c>
      <c r="BH9" s="51"/>
      <c r="BI9" s="51"/>
      <c r="BJ9" s="51">
        <v>1.2</v>
      </c>
      <c r="BK9" s="51"/>
      <c r="BL9" s="51">
        <v>1.64</v>
      </c>
      <c r="BM9" s="51"/>
      <c r="BN9" s="51"/>
      <c r="BO9" s="52"/>
    </row>
    <row r="10" spans="1:67" ht="13.15" customHeight="1">
      <c r="A10" s="18" t="s">
        <v>23</v>
      </c>
      <c r="C10" s="305">
        <f>DB_Ref</f>
        <v>2</v>
      </c>
      <c r="D10" s="306"/>
      <c r="E10" s="286"/>
      <c r="L10" s="18" t="str">
        <f>A10</f>
        <v>DB Ref:</v>
      </c>
      <c r="M10" s="57"/>
      <c r="N10" s="307">
        <f>C10</f>
        <v>2</v>
      </c>
      <c r="O10" s="308"/>
      <c r="P10" s="309"/>
      <c r="Q10" s="56"/>
      <c r="R10" s="57"/>
      <c r="U10" s="57"/>
      <c r="V10" s="57"/>
      <c r="AD10" s="22"/>
      <c r="AH10" s="53" t="s">
        <v>48</v>
      </c>
      <c r="AI10" s="54">
        <f>IF(homerun_csa=1.5,13.3,IF(homerun_csa=2.5,7.98,IF(homerun_csa=4,4.95,IF(homerun_csa=6,3.3,"ERR"))))</f>
        <v>4.95</v>
      </c>
      <c r="AJ10" s="61">
        <f>IF(extender_csa=1.5,13.3,IF(extender_csa=2.5,7.98,IF(extender_csa=4,5.6,"ERR")))</f>
        <v>7.98</v>
      </c>
      <c r="AK10" s="61">
        <f>IF(SD_csa=1.5,13.3,IF(SD_csa=2.5,7.98,"ERR"))</f>
        <v>13.3</v>
      </c>
      <c r="AL10" s="5"/>
      <c r="AM10" s="62"/>
      <c r="AN10" s="63" t="s">
        <v>49</v>
      </c>
      <c r="AO10" s="62"/>
      <c r="AP10" s="64" t="s">
        <v>21</v>
      </c>
      <c r="AQ10" s="65">
        <v>3</v>
      </c>
      <c r="AR10" s="65">
        <v>2.9</v>
      </c>
      <c r="AS10" s="65"/>
      <c r="AT10" s="65"/>
      <c r="AU10" s="65">
        <v>3.33</v>
      </c>
      <c r="AV10" s="65"/>
      <c r="AW10" s="65">
        <v>2.88</v>
      </c>
      <c r="AX10" s="65"/>
      <c r="AY10" s="65"/>
      <c r="AZ10" s="66"/>
      <c r="BA10" s="5"/>
      <c r="BB10" s="62"/>
      <c r="BC10" s="63" t="s">
        <v>49</v>
      </c>
      <c r="BD10" s="62"/>
      <c r="BE10" s="64" t="s">
        <v>21</v>
      </c>
      <c r="BF10" s="65">
        <v>3</v>
      </c>
      <c r="BG10" s="65">
        <v>2.9</v>
      </c>
      <c r="BH10" s="65"/>
      <c r="BI10" s="65"/>
      <c r="BJ10" s="65">
        <v>3</v>
      </c>
      <c r="BK10" s="65"/>
      <c r="BL10" s="65">
        <v>2.88</v>
      </c>
      <c r="BM10" s="65"/>
      <c r="BN10" s="65"/>
      <c r="BO10" s="66"/>
    </row>
    <row r="11" spans="1:67" ht="13.15" customHeight="1">
      <c r="A11" s="18"/>
      <c r="C11" s="271"/>
      <c r="D11" s="272"/>
      <c r="E11" s="270"/>
      <c r="L11" s="18">
        <f>A11</f>
        <v>0</v>
      </c>
      <c r="M11" s="57"/>
      <c r="N11" s="307">
        <f>C11</f>
        <v>0</v>
      </c>
      <c r="O11" s="308"/>
      <c r="P11" s="309"/>
      <c r="Q11" s="56"/>
      <c r="R11" s="57"/>
      <c r="U11" s="57"/>
      <c r="V11" s="57"/>
      <c r="AI11" s="55"/>
      <c r="AJ11" s="55"/>
      <c r="AK11" s="55"/>
      <c r="AL11" s="5"/>
      <c r="AM11" s="48"/>
      <c r="AN11" s="49" t="s">
        <v>29</v>
      </c>
      <c r="AO11" s="48"/>
      <c r="AP11" s="50" t="s">
        <v>30</v>
      </c>
      <c r="AQ11" s="51">
        <v>1.5</v>
      </c>
      <c r="AR11" s="51">
        <v>1.4</v>
      </c>
      <c r="AS11" s="65"/>
      <c r="AT11" s="51"/>
      <c r="AU11" s="65">
        <v>3.33</v>
      </c>
      <c r="AV11" s="51"/>
      <c r="AW11" s="65">
        <v>1.84</v>
      </c>
      <c r="AX11" s="51"/>
      <c r="AY11" s="65"/>
      <c r="AZ11" s="52"/>
      <c r="BA11" s="5"/>
      <c r="BB11" s="48"/>
      <c r="BC11" s="49" t="s">
        <v>29</v>
      </c>
      <c r="BD11" s="48"/>
      <c r="BE11" s="50" t="s">
        <v>30</v>
      </c>
      <c r="BF11" s="51">
        <v>1.5</v>
      </c>
      <c r="BG11" s="51">
        <v>1.4</v>
      </c>
      <c r="BH11" s="65"/>
      <c r="BI11" s="51"/>
      <c r="BJ11" s="65">
        <v>1.5</v>
      </c>
      <c r="BK11" s="51"/>
      <c r="BL11" s="65">
        <v>1.44</v>
      </c>
      <c r="BM11" s="51"/>
      <c r="BN11" s="65"/>
      <c r="BO11" s="52"/>
    </row>
    <row r="12" spans="1:67" ht="13.15" customHeight="1">
      <c r="A12" s="18" t="s">
        <v>38</v>
      </c>
      <c r="C12" s="305" t="str">
        <f ca="1">C10&amp;"|"&amp;MID(CELL("filename",A1),FIND("]",CELL("filename",A1))+1,32)</f>
        <v>2|14L1</v>
      </c>
      <c r="D12" s="306"/>
      <c r="E12" s="286"/>
      <c r="L12" s="18" t="str">
        <f>A12</f>
        <v>Circuit Ref:</v>
      </c>
      <c r="M12" s="57"/>
      <c r="N12" s="305" t="str">
        <f ca="1">C12</f>
        <v>2|14L1</v>
      </c>
      <c r="O12" s="310"/>
      <c r="P12" s="311"/>
      <c r="Q12" s="56"/>
      <c r="R12" s="57"/>
      <c r="U12" s="57"/>
      <c r="V12" s="57"/>
      <c r="AH12" s="34" t="s">
        <v>59</v>
      </c>
      <c r="AI12" s="71">
        <f>homerun_Z1*mdb_CPD_R_Factor</f>
        <v>6.1776</v>
      </c>
      <c r="AJ12" s="71">
        <f>extender_Z1*extender_CPD_R_Factor</f>
        <v>9.9590399999999999</v>
      </c>
      <c r="AK12" s="71">
        <f>SD_Z1*SD_CPD_R_Factor</f>
        <v>16.598400000000002</v>
      </c>
      <c r="AL12" s="5"/>
      <c r="AM12" s="48"/>
      <c r="AN12" s="49" t="s">
        <v>29</v>
      </c>
      <c r="AO12" s="48"/>
      <c r="AP12" s="50" t="s">
        <v>36</v>
      </c>
      <c r="AQ12" s="51">
        <v>0.75</v>
      </c>
      <c r="AR12" s="51">
        <v>1</v>
      </c>
      <c r="AS12" s="65"/>
      <c r="AT12" s="51"/>
      <c r="AU12" s="65">
        <v>3.33</v>
      </c>
      <c r="AV12" s="51"/>
      <c r="AW12" s="65">
        <v>1.84</v>
      </c>
      <c r="AX12" s="51"/>
      <c r="AY12" s="65"/>
      <c r="AZ12" s="52"/>
      <c r="BA12" s="5"/>
      <c r="BB12" s="48"/>
      <c r="BC12" s="49" t="s">
        <v>29</v>
      </c>
      <c r="BD12" s="48"/>
      <c r="BE12" s="50" t="s">
        <v>36</v>
      </c>
      <c r="BF12" s="51">
        <v>0.75</v>
      </c>
      <c r="BG12" s="51">
        <v>1</v>
      </c>
      <c r="BH12" s="65"/>
      <c r="BI12" s="51"/>
      <c r="BJ12" s="65">
        <v>0.75</v>
      </c>
      <c r="BK12" s="51"/>
      <c r="BL12" s="65">
        <v>1.03</v>
      </c>
      <c r="BM12" s="51"/>
      <c r="BN12" s="65"/>
      <c r="BO12" s="52"/>
    </row>
    <row r="13" spans="1:67" s="196" customFormat="1" ht="13.15" customHeight="1">
      <c r="A13" s="55"/>
      <c r="B13" s="57"/>
      <c r="C13" s="55"/>
      <c r="D13" s="56"/>
      <c r="E13" s="55"/>
      <c r="F13" s="56"/>
      <c r="G13" s="57"/>
      <c r="H13" s="55"/>
      <c r="I13" s="55"/>
      <c r="J13" s="57"/>
      <c r="K13" s="57"/>
      <c r="L13" s="55"/>
      <c r="M13" s="57"/>
      <c r="N13" s="55"/>
      <c r="O13" s="56"/>
      <c r="P13" s="55"/>
      <c r="Q13" s="56"/>
      <c r="R13" s="57"/>
      <c r="S13" s="55"/>
      <c r="T13" s="55"/>
      <c r="U13" s="57"/>
      <c r="V13" s="57"/>
      <c r="AD13" s="197"/>
      <c r="AE13" s="197"/>
      <c r="AF13" s="198"/>
      <c r="AG13" s="198"/>
      <c r="AH13" s="199" t="s">
        <v>65</v>
      </c>
      <c r="AI13" s="200">
        <f>Homerun_ZinstPH</f>
        <v>6.1776</v>
      </c>
      <c r="AJ13" s="200">
        <f>Extender_ZinstPH</f>
        <v>9.9590399999999999</v>
      </c>
      <c r="AK13" s="200">
        <f>SD_ZinstPH</f>
        <v>16.598400000000002</v>
      </c>
      <c r="AL13" s="201"/>
      <c r="AM13" s="202"/>
      <c r="AN13" s="203" t="s">
        <v>66</v>
      </c>
      <c r="AO13" s="202"/>
      <c r="AP13" s="204" t="s">
        <v>21</v>
      </c>
      <c r="AQ13" s="205">
        <v>2.4</v>
      </c>
      <c r="AR13" s="205">
        <v>2.2999999999999998</v>
      </c>
      <c r="AS13" s="205"/>
      <c r="AT13" s="205"/>
      <c r="AU13" s="205">
        <v>2.66</v>
      </c>
      <c r="AV13" s="205"/>
      <c r="AW13" s="205">
        <v>2.2999999999999998</v>
      </c>
      <c r="AX13" s="205"/>
      <c r="AY13" s="205"/>
      <c r="AZ13" s="206"/>
      <c r="BA13" s="201"/>
      <c r="BB13" s="202"/>
      <c r="BC13" s="203" t="s">
        <v>66</v>
      </c>
      <c r="BD13" s="202"/>
      <c r="BE13" s="204" t="s">
        <v>21</v>
      </c>
      <c r="BF13" s="205">
        <v>2.4</v>
      </c>
      <c r="BG13" s="205">
        <v>2.2999999999999998</v>
      </c>
      <c r="BH13" s="205"/>
      <c r="BI13" s="205"/>
      <c r="BJ13" s="205">
        <v>2.4</v>
      </c>
      <c r="BK13" s="205"/>
      <c r="BL13" s="205">
        <v>2.2999999999999998</v>
      </c>
      <c r="BM13" s="205"/>
      <c r="BN13" s="205"/>
      <c r="BO13" s="206"/>
    </row>
    <row r="14" spans="1:67" ht="13.15" customHeight="1">
      <c r="A14" s="30" t="s">
        <v>190</v>
      </c>
      <c r="B14" s="56"/>
      <c r="C14" s="57"/>
      <c r="D14" s="55"/>
      <c r="G14" s="30" t="s">
        <v>252</v>
      </c>
      <c r="I14" s="57"/>
      <c r="J14" s="96"/>
      <c r="K14" s="72"/>
      <c r="L14" s="30" t="s">
        <v>158</v>
      </c>
      <c r="M14" s="57"/>
      <c r="O14" s="56"/>
      <c r="Q14" s="56"/>
      <c r="R14" s="57"/>
      <c r="U14" s="57"/>
      <c r="V14" s="57"/>
      <c r="AL14" s="5"/>
      <c r="AM14" s="48"/>
      <c r="AN14" s="49" t="s">
        <v>29</v>
      </c>
      <c r="AO14" s="48"/>
      <c r="AP14" s="50" t="s">
        <v>30</v>
      </c>
      <c r="AQ14" s="51">
        <v>1.2</v>
      </c>
      <c r="AR14" s="51">
        <v>1.2</v>
      </c>
      <c r="AS14" s="51"/>
      <c r="AT14" s="51"/>
      <c r="AU14" s="51">
        <v>2.66</v>
      </c>
      <c r="AV14" s="51"/>
      <c r="AW14" s="51">
        <v>1.47</v>
      </c>
      <c r="AX14" s="51"/>
      <c r="AY14" s="51"/>
      <c r="AZ14" s="52"/>
      <c r="BA14" s="5"/>
      <c r="BB14" s="48"/>
      <c r="BC14" s="49" t="s">
        <v>29</v>
      </c>
      <c r="BD14" s="48"/>
      <c r="BE14" s="50" t="s">
        <v>30</v>
      </c>
      <c r="BF14" s="51">
        <v>1.2</v>
      </c>
      <c r="BG14" s="51">
        <v>1.2</v>
      </c>
      <c r="BH14" s="51"/>
      <c r="BI14" s="51"/>
      <c r="BJ14" s="51">
        <v>1.2</v>
      </c>
      <c r="BK14" s="51"/>
      <c r="BL14" s="51">
        <v>1.1499999999999999</v>
      </c>
      <c r="BM14" s="51"/>
      <c r="BN14" s="51"/>
      <c r="BO14" s="52"/>
    </row>
    <row r="15" spans="1:67" ht="13.15" customHeight="1">
      <c r="A15" s="55" t="s">
        <v>45</v>
      </c>
      <c r="B15" s="56"/>
      <c r="D15" s="218">
        <f ca="1">AI46*100</f>
        <v>2.15</v>
      </c>
      <c r="E15" s="58" t="s">
        <v>46</v>
      </c>
      <c r="G15" s="69" t="s">
        <v>93</v>
      </c>
      <c r="I15" s="57"/>
      <c r="J15" s="153">
        <v>12</v>
      </c>
      <c r="K15" s="56"/>
      <c r="M15" s="57"/>
      <c r="O15" s="56"/>
      <c r="Q15" s="56"/>
      <c r="R15" s="57"/>
      <c r="U15" s="57"/>
      <c r="V15" s="57"/>
      <c r="AH15" s="34" t="s">
        <v>74</v>
      </c>
      <c r="AI15" s="55">
        <f>IF(CPD="BS7671",1,AI19)</f>
        <v>1.248</v>
      </c>
      <c r="AJ15" s="55">
        <f>IF(CPD="BS7671",1,AJ19)</f>
        <v>1.248</v>
      </c>
      <c r="AK15" s="55">
        <f>IF(CPD="BS7671",1,AK19)</f>
        <v>1.248</v>
      </c>
      <c r="AL15" s="5"/>
      <c r="AM15" s="48"/>
      <c r="AN15" s="49" t="s">
        <v>29</v>
      </c>
      <c r="AO15" s="48"/>
      <c r="AP15" s="50" t="s">
        <v>36</v>
      </c>
      <c r="AQ15" s="51">
        <v>0.6</v>
      </c>
      <c r="AR15" s="51">
        <v>0.8</v>
      </c>
      <c r="AS15" s="51"/>
      <c r="AT15" s="51"/>
      <c r="AU15" s="51">
        <v>2.66</v>
      </c>
      <c r="AV15" s="51"/>
      <c r="AW15" s="51">
        <v>1.47</v>
      </c>
      <c r="AX15" s="51"/>
      <c r="AY15" s="51"/>
      <c r="AZ15" s="52"/>
      <c r="BA15" s="5"/>
      <c r="BB15" s="48"/>
      <c r="BC15" s="49" t="s">
        <v>29</v>
      </c>
      <c r="BD15" s="48"/>
      <c r="BE15" s="50" t="s">
        <v>36</v>
      </c>
      <c r="BF15" s="51">
        <v>0.6</v>
      </c>
      <c r="BG15" s="51">
        <v>0.8</v>
      </c>
      <c r="BH15" s="51"/>
      <c r="BI15" s="51"/>
      <c r="BJ15" s="51">
        <v>0.6</v>
      </c>
      <c r="BK15" s="51"/>
      <c r="BL15" s="51">
        <v>0.82</v>
      </c>
      <c r="BM15" s="51"/>
      <c r="BN15" s="51"/>
      <c r="BO15" s="52"/>
    </row>
    <row r="16" spans="1:67" ht="13.15" customHeight="1">
      <c r="A16" s="55" t="s">
        <v>52</v>
      </c>
      <c r="B16" s="56"/>
      <c r="D16" s="219">
        <f ca="1">Source_Nominal_V-'14L1'!AI47</f>
        <v>225.05500000000001</v>
      </c>
      <c r="E16" s="56" t="s">
        <v>44</v>
      </c>
      <c r="G16" s="55" t="s">
        <v>96</v>
      </c>
      <c r="J16" s="154">
        <v>4</v>
      </c>
      <c r="K16" s="55" t="s">
        <v>97</v>
      </c>
      <c r="L16" s="73" t="s">
        <v>68</v>
      </c>
      <c r="M16" s="73" t="s">
        <v>68</v>
      </c>
      <c r="N16" s="74" t="s">
        <v>69</v>
      </c>
      <c r="O16" s="312" t="s">
        <v>70</v>
      </c>
      <c r="P16" s="313"/>
      <c r="Q16" s="275"/>
      <c r="R16" s="49" t="s">
        <v>71</v>
      </c>
      <c r="S16" s="74"/>
      <c r="T16" s="75" t="s">
        <v>72</v>
      </c>
      <c r="U16" s="75" t="s">
        <v>73</v>
      </c>
      <c r="V16" s="57"/>
      <c r="AL16" s="5"/>
      <c r="AM16" s="48"/>
      <c r="AN16" s="49" t="s">
        <v>83</v>
      </c>
      <c r="AO16" s="48"/>
      <c r="AP16" s="50" t="s">
        <v>21</v>
      </c>
      <c r="AQ16" s="51">
        <v>1.8</v>
      </c>
      <c r="AR16" s="51">
        <v>1.8</v>
      </c>
      <c r="AS16" s="51"/>
      <c r="AT16" s="51"/>
      <c r="AU16" s="51">
        <v>2.14</v>
      </c>
      <c r="AV16" s="51"/>
      <c r="AW16" s="51">
        <v>1.84</v>
      </c>
      <c r="AX16" s="51"/>
      <c r="AY16" s="51"/>
      <c r="AZ16" s="52"/>
      <c r="BA16" s="5"/>
      <c r="BB16" s="48"/>
      <c r="BC16" s="49" t="s">
        <v>83</v>
      </c>
      <c r="BD16" s="48"/>
      <c r="BE16" s="50" t="s">
        <v>21</v>
      </c>
      <c r="BF16" s="51">
        <v>1.8</v>
      </c>
      <c r="BG16" s="51">
        <v>1.8</v>
      </c>
      <c r="BH16" s="51"/>
      <c r="BI16" s="51"/>
      <c r="BJ16" s="51">
        <v>1.92</v>
      </c>
      <c r="BK16" s="51"/>
      <c r="BL16" s="51">
        <v>1.84</v>
      </c>
      <c r="BM16" s="51"/>
      <c r="BN16" s="51"/>
      <c r="BO16" s="52"/>
    </row>
    <row r="17" spans="1:67" ht="13.15" customHeight="1">
      <c r="A17" s="55" t="s">
        <v>55</v>
      </c>
      <c r="D17" s="259">
        <f>Ipsc_Max_DB</f>
        <v>14430</v>
      </c>
      <c r="E17" s="56" t="s">
        <v>56</v>
      </c>
      <c r="G17" s="55" t="s">
        <v>99</v>
      </c>
      <c r="I17" s="57"/>
      <c r="J17" s="155" t="s">
        <v>148</v>
      </c>
      <c r="K17" s="56"/>
      <c r="L17" s="76" t="s">
        <v>76</v>
      </c>
      <c r="M17" s="76" t="s">
        <v>77</v>
      </c>
      <c r="N17" s="77" t="s">
        <v>78</v>
      </c>
      <c r="O17" s="78" t="s">
        <v>79</v>
      </c>
      <c r="P17" s="77" t="s">
        <v>80</v>
      </c>
      <c r="Q17" s="78" t="s">
        <v>79</v>
      </c>
      <c r="R17" s="79" t="s">
        <v>80</v>
      </c>
      <c r="S17" s="80" t="s">
        <v>46</v>
      </c>
      <c r="T17" s="81" t="s">
        <v>157</v>
      </c>
      <c r="U17" s="82" t="s">
        <v>81</v>
      </c>
      <c r="V17" s="57"/>
      <c r="X17" s="83" t="s">
        <v>72</v>
      </c>
      <c r="Y17" s="83" t="s">
        <v>73</v>
      </c>
      <c r="Z17" s="83" t="s">
        <v>82</v>
      </c>
      <c r="AH17" s="34" t="s">
        <v>87</v>
      </c>
      <c r="AI17" s="34">
        <v>1.04</v>
      </c>
      <c r="AJ17" s="34">
        <f>AI17</f>
        <v>1.04</v>
      </c>
      <c r="AK17" s="34">
        <f>AJ17</f>
        <v>1.04</v>
      </c>
      <c r="AL17" s="5"/>
      <c r="AM17" s="48"/>
      <c r="AN17" s="49" t="s">
        <v>29</v>
      </c>
      <c r="AO17" s="48"/>
      <c r="AP17" s="50" t="s">
        <v>30</v>
      </c>
      <c r="AQ17" s="51">
        <v>1</v>
      </c>
      <c r="AR17" s="51">
        <v>0.9</v>
      </c>
      <c r="AS17" s="51"/>
      <c r="AT17" s="51"/>
      <c r="AU17" s="51">
        <v>2.14</v>
      </c>
      <c r="AV17" s="51"/>
      <c r="AW17" s="51">
        <v>1.18</v>
      </c>
      <c r="AX17" s="51"/>
      <c r="AY17" s="51"/>
      <c r="AZ17" s="52"/>
      <c r="BA17" s="5"/>
      <c r="BB17" s="48"/>
      <c r="BC17" s="49" t="s">
        <v>29</v>
      </c>
      <c r="BD17" s="48"/>
      <c r="BE17" s="50" t="s">
        <v>30</v>
      </c>
      <c r="BF17" s="51">
        <v>1</v>
      </c>
      <c r="BG17" s="51">
        <v>0.9</v>
      </c>
      <c r="BH17" s="51"/>
      <c r="BI17" s="51"/>
      <c r="BJ17" s="51">
        <v>0.96</v>
      </c>
      <c r="BK17" s="51"/>
      <c r="BL17" s="51">
        <v>0.92</v>
      </c>
      <c r="BM17" s="51"/>
      <c r="BN17" s="51"/>
      <c r="BO17" s="52"/>
    </row>
    <row r="18" spans="1:67" ht="13.15" customHeight="1">
      <c r="A18" s="55" t="s">
        <v>62</v>
      </c>
      <c r="D18" s="220">
        <f>Zs_DB</f>
        <v>7.3730000000000004E-2</v>
      </c>
      <c r="E18" s="72" t="s">
        <v>63</v>
      </c>
      <c r="G18" s="55" t="s">
        <v>206</v>
      </c>
      <c r="J18" s="55">
        <f>homerun_tp</f>
        <v>70</v>
      </c>
      <c r="K18" s="56" t="s">
        <v>261</v>
      </c>
      <c r="L18" s="225" t="s">
        <v>256</v>
      </c>
      <c r="M18" s="225" t="s">
        <v>86</v>
      </c>
      <c r="N18" s="226">
        <f>D23</f>
        <v>25</v>
      </c>
      <c r="O18" s="227" t="s">
        <v>86</v>
      </c>
      <c r="P18" s="85">
        <f>ROUND((P19),2)</f>
        <v>4.24</v>
      </c>
      <c r="Q18" s="84">
        <f>ROUND((((homerun_Vd)*P18*N18/1000)),4)</f>
        <v>1.272</v>
      </c>
      <c r="R18" s="86">
        <f>Q18</f>
        <v>1.272</v>
      </c>
      <c r="S18" s="87">
        <f t="shared" ref="S18:S45" si="3">ROUNDUP((100/nominal_V*R18),2)</f>
        <v>0.56000000000000005</v>
      </c>
      <c r="T18" s="85">
        <f>ROUND((Ze+((homerun_PELI*N18/1000))),2)</f>
        <v>0.38</v>
      </c>
      <c r="U18" s="88">
        <f>ROUNDUP((nominal_V/((nominal_V/Ipsc)+(((homerun_R20c*mdb_CPD_R_Factor*N18*2)/1000)))),0)</f>
        <v>709</v>
      </c>
      <c r="V18" s="57"/>
      <c r="X18" s="89">
        <f>T18</f>
        <v>0.38</v>
      </c>
      <c r="Y18" s="89">
        <f>U18</f>
        <v>709</v>
      </c>
      <c r="Z18" s="89">
        <f>S18</f>
        <v>0.56000000000000005</v>
      </c>
      <c r="AH18" s="34" t="s">
        <v>89</v>
      </c>
      <c r="AI18" s="34">
        <f>IF(homerun_tp=70,1.2,IF(homerun_tp=90,1.28,"ERR"))</f>
        <v>1.2</v>
      </c>
      <c r="AJ18" s="34">
        <f>IF(extender_tp,1.2,IF(extender_tp=90,1.28,"ERR"))</f>
        <v>1.2</v>
      </c>
      <c r="AK18" s="34">
        <f>IF(extender_tp,1.2,IF(extender_tp=90,1.28,"ERR"))</f>
        <v>1.2</v>
      </c>
      <c r="AL18" s="5"/>
      <c r="AM18" s="48"/>
      <c r="AN18" s="49" t="s">
        <v>29</v>
      </c>
      <c r="AO18" s="48"/>
      <c r="AP18" s="50" t="s">
        <v>36</v>
      </c>
      <c r="AQ18" s="51">
        <v>0.46</v>
      </c>
      <c r="AR18" s="51">
        <v>0.7</v>
      </c>
      <c r="AS18" s="51"/>
      <c r="AT18" s="51"/>
      <c r="AU18" s="51">
        <v>2.14</v>
      </c>
      <c r="AV18" s="51"/>
      <c r="AW18" s="51">
        <v>1.18</v>
      </c>
      <c r="AX18" s="51"/>
      <c r="AY18" s="51"/>
      <c r="AZ18" s="52"/>
      <c r="BA18" s="5"/>
      <c r="BB18" s="48"/>
      <c r="BC18" s="49" t="s">
        <v>29</v>
      </c>
      <c r="BD18" s="48"/>
      <c r="BE18" s="50" t="s">
        <v>36</v>
      </c>
      <c r="BF18" s="51">
        <v>0.46</v>
      </c>
      <c r="BG18" s="51">
        <v>0.7</v>
      </c>
      <c r="BH18" s="51"/>
      <c r="BI18" s="51"/>
      <c r="BJ18" s="51">
        <v>0.48</v>
      </c>
      <c r="BK18" s="51"/>
      <c r="BL18" s="51">
        <v>0.66</v>
      </c>
      <c r="BM18" s="51"/>
      <c r="BN18" s="51"/>
      <c r="BO18" s="52"/>
    </row>
    <row r="19" spans="1:67" ht="13.15" customHeight="1">
      <c r="D19" s="55"/>
      <c r="E19" s="56"/>
      <c r="G19" s="55" t="s">
        <v>101</v>
      </c>
      <c r="I19" s="57"/>
      <c r="J19" s="55">
        <f>homerun_It1</f>
        <v>34</v>
      </c>
      <c r="K19" s="56" t="s">
        <v>56</v>
      </c>
      <c r="L19" s="243" t="s">
        <v>259</v>
      </c>
      <c r="M19" s="228">
        <v>1</v>
      </c>
      <c r="N19" s="229">
        <v>0</v>
      </c>
      <c r="O19" s="230">
        <f>((Lum_Q*2))/230</f>
        <v>0.94782608695652171</v>
      </c>
      <c r="P19" s="231">
        <f t="shared" ref="P19:P45" si="4">ROUND((P20+O19),2)</f>
        <v>4.24</v>
      </c>
      <c r="Q19" s="90">
        <f>IF(L19="FW",(ROUND((((extender_Vd*P19*N19)/1000)),4)),IF(L19="FL",(ROUND((((SD_Vd*P19*N19)/1000)),4)),0))</f>
        <v>0</v>
      </c>
      <c r="R19" s="91">
        <f t="shared" ref="R19:R45" si="5">IF(M19=0,0,IF(M19&gt;0.5,Q19+R18,err))</f>
        <v>1.272</v>
      </c>
      <c r="S19" s="87">
        <f t="shared" si="3"/>
        <v>0.56000000000000005</v>
      </c>
      <c r="T19" s="92">
        <f t="shared" ref="T19:T45" si="6">ROUNDUP((IF(M19=0,0,IF(M19&gt;0.5,(T18+((extender_PELI*N19)/1000))))),2)</f>
        <v>0.38</v>
      </c>
      <c r="U19" s="93">
        <f>IF(M19=0,0,IF(M19&gt;0.5,(nominal_V/((nominal_V/U18)+((extender_R20cPHA*extender_CPD_R_Factor*N19*2)/1000)))))</f>
        <v>709</v>
      </c>
      <c r="V19" s="57"/>
      <c r="X19" s="94">
        <f t="shared" ref="X19:X45" si="7">IF(M19=0,0,IF(M19&gt;0.5,(T19-T18)))</f>
        <v>0</v>
      </c>
      <c r="Y19" s="94">
        <f t="shared" ref="Y19:Y45" si="8">IF(M19=0,0,IF(M19&gt;0.5,(U19-U18)))</f>
        <v>0</v>
      </c>
      <c r="Z19" s="94">
        <f t="shared" ref="Z19:Z45" si="9">IF(M19=0,0,IF(M19&gt;0.5,(S19-S18)))</f>
        <v>0</v>
      </c>
      <c r="AH19" s="53" t="s">
        <v>91</v>
      </c>
      <c r="AI19" s="95">
        <f>AI17*AI18</f>
        <v>1.248</v>
      </c>
      <c r="AJ19" s="95">
        <f>AJ17*AJ18</f>
        <v>1.248</v>
      </c>
      <c r="AK19" s="95">
        <f>AK17*AK18</f>
        <v>1.248</v>
      </c>
      <c r="AL19" s="5"/>
      <c r="AM19" s="48"/>
      <c r="AN19" s="49" t="s">
        <v>92</v>
      </c>
      <c r="AO19" s="48"/>
      <c r="AP19" s="50" t="s">
        <v>21</v>
      </c>
      <c r="AQ19" s="51">
        <v>1.5</v>
      </c>
      <c r="AR19" s="51">
        <v>1.4</v>
      </c>
      <c r="AS19" s="51"/>
      <c r="AT19" s="51"/>
      <c r="AU19" s="51">
        <v>1.66</v>
      </c>
      <c r="AV19" s="51"/>
      <c r="AW19" s="51">
        <v>1.44</v>
      </c>
      <c r="AX19" s="51"/>
      <c r="AY19" s="51"/>
      <c r="AZ19" s="52"/>
      <c r="BA19" s="5"/>
      <c r="BB19" s="48"/>
      <c r="BC19" s="49" t="s">
        <v>92</v>
      </c>
      <c r="BD19" s="48"/>
      <c r="BE19" s="50" t="s">
        <v>21</v>
      </c>
      <c r="BF19" s="51">
        <v>1.5</v>
      </c>
      <c r="BG19" s="51">
        <v>1.4</v>
      </c>
      <c r="BH19" s="51"/>
      <c r="BI19" s="51"/>
      <c r="BJ19" s="51">
        <v>1.5</v>
      </c>
      <c r="BK19" s="51"/>
      <c r="BL19" s="51">
        <v>1.44</v>
      </c>
      <c r="BM19" s="51"/>
      <c r="BN19" s="51"/>
      <c r="BO19" s="52"/>
    </row>
    <row r="20" spans="1:67" ht="13.15" customHeight="1">
      <c r="G20" s="55" t="s">
        <v>103</v>
      </c>
      <c r="I20" s="57"/>
      <c r="J20" s="55">
        <f>homerun_Vd1</f>
        <v>12</v>
      </c>
      <c r="K20" s="237" t="s">
        <v>104</v>
      </c>
      <c r="L20" s="244" t="s">
        <v>259</v>
      </c>
      <c r="M20" s="228">
        <v>2</v>
      </c>
      <c r="N20" s="229">
        <v>1.7</v>
      </c>
      <c r="O20" s="230">
        <f t="shared" ref="O19:O31" si="10">((Lum_Q*1))/230</f>
        <v>0.47391304347826085</v>
      </c>
      <c r="P20" s="231">
        <f t="shared" si="4"/>
        <v>3.29</v>
      </c>
      <c r="Q20" s="90">
        <f>IF(L20="FW",(ROUND((((extender_Vd*P20*N20)/1000)),4)),IF(L20="FL",(ROUND((((SD_Vd*P20*N20)/1000)),4)),0))</f>
        <v>0.1007</v>
      </c>
      <c r="R20" s="91">
        <f t="shared" si="5"/>
        <v>1.3727</v>
      </c>
      <c r="S20" s="87">
        <f t="shared" si="3"/>
        <v>0.6</v>
      </c>
      <c r="T20" s="92">
        <f t="shared" si="6"/>
        <v>0.42</v>
      </c>
      <c r="U20" s="93">
        <f>IF(M20=0,0,IF(M20&gt;0.5,(nominal_V/((nominal_V/U19)+((extender_R20cPHA*extender_CPD_R_Factor*N20*2)/1000)))))</f>
        <v>641.98951962637261</v>
      </c>
      <c r="V20" s="57"/>
      <c r="X20" s="94">
        <f t="shared" si="7"/>
        <v>3.999999999999998E-2</v>
      </c>
      <c r="Y20" s="94">
        <f t="shared" si="8"/>
        <v>-67.010480373627388</v>
      </c>
      <c r="Z20" s="94">
        <f t="shared" si="9"/>
        <v>3.9999999999999925E-2</v>
      </c>
      <c r="AI20" s="71"/>
      <c r="AJ20" s="55"/>
      <c r="AK20" s="55"/>
      <c r="AL20" s="5"/>
      <c r="AM20" s="62"/>
      <c r="AN20" s="63" t="s">
        <v>29</v>
      </c>
      <c r="AO20" s="62"/>
      <c r="AP20" s="64" t="s">
        <v>30</v>
      </c>
      <c r="AQ20" s="65">
        <v>0.75</v>
      </c>
      <c r="AR20" s="65">
        <v>0.7</v>
      </c>
      <c r="AS20" s="65"/>
      <c r="AT20" s="65"/>
      <c r="AU20" s="51">
        <v>1.66</v>
      </c>
      <c r="AV20" s="65"/>
      <c r="AW20" s="65">
        <v>0.92</v>
      </c>
      <c r="AX20" s="65"/>
      <c r="AY20" s="51"/>
      <c r="AZ20" s="66"/>
      <c r="BA20" s="5"/>
      <c r="BB20" s="62"/>
      <c r="BC20" s="63" t="s">
        <v>29</v>
      </c>
      <c r="BD20" s="62"/>
      <c r="BE20" s="64" t="s">
        <v>30</v>
      </c>
      <c r="BF20" s="65">
        <v>0.75</v>
      </c>
      <c r="BG20" s="65">
        <v>0.7</v>
      </c>
      <c r="BH20" s="65"/>
      <c r="BI20" s="65"/>
      <c r="BJ20" s="51">
        <v>0.75</v>
      </c>
      <c r="BK20" s="65"/>
      <c r="BL20" s="65">
        <v>0.72</v>
      </c>
      <c r="BM20" s="65"/>
      <c r="BN20" s="51"/>
      <c r="BO20" s="66"/>
    </row>
    <row r="21" spans="1:67" ht="13.15" customHeight="1">
      <c r="A21" s="30" t="s">
        <v>191</v>
      </c>
      <c r="B21" s="2"/>
      <c r="D21" s="7"/>
      <c r="E21" s="31"/>
      <c r="G21" s="55" t="s">
        <v>105</v>
      </c>
      <c r="I21" s="57"/>
      <c r="J21" s="55">
        <f>homerun_Z1</f>
        <v>4.95</v>
      </c>
      <c r="K21" s="238" t="s">
        <v>106</v>
      </c>
      <c r="L21" s="244" t="s">
        <v>259</v>
      </c>
      <c r="M21" s="228">
        <v>3</v>
      </c>
      <c r="N21" s="229">
        <v>3.7</v>
      </c>
      <c r="O21" s="230">
        <f t="shared" si="10"/>
        <v>0.47391304347826085</v>
      </c>
      <c r="P21" s="231">
        <f t="shared" si="4"/>
        <v>2.82</v>
      </c>
      <c r="Q21" s="90">
        <f>IF(L21="FW",(ROUND((((extender_Vd*P21*N21)/1000)),4)),IF(L21="FL",(ROUND((((SD_Vd*P21*N21)/1000)),4)),0))</f>
        <v>0.18779999999999999</v>
      </c>
      <c r="R21" s="91">
        <f t="shared" si="5"/>
        <v>1.5605</v>
      </c>
      <c r="S21" s="87">
        <f t="shared" si="3"/>
        <v>0.68</v>
      </c>
      <c r="T21" s="92">
        <f t="shared" si="6"/>
        <v>0.5</v>
      </c>
      <c r="U21" s="93">
        <f t="shared" ref="U19:U45" si="11">IF(M21=0,0,IF(M21&gt;0.5,(nominal_V/((nominal_V/U20)+((extender_R20cPHA*extender_CPD_R_Factor*N21*2)/1000)))))</f>
        <v>532.45893245390823</v>
      </c>
      <c r="V21" s="57"/>
      <c r="X21" s="94">
        <f t="shared" si="7"/>
        <v>8.0000000000000016E-2</v>
      </c>
      <c r="Y21" s="94">
        <f t="shared" si="8"/>
        <v>-109.53058717246438</v>
      </c>
      <c r="Z21" s="94">
        <f t="shared" si="9"/>
        <v>8.0000000000000071E-2</v>
      </c>
      <c r="AH21" s="42"/>
      <c r="AI21" s="5"/>
      <c r="AJ21" s="5"/>
      <c r="AK21" s="5"/>
      <c r="AL21" s="5"/>
      <c r="AM21" s="48"/>
      <c r="AN21" s="49" t="s">
        <v>29</v>
      </c>
      <c r="AO21" s="48"/>
      <c r="AP21" s="50" t="s">
        <v>36</v>
      </c>
      <c r="AQ21" s="51">
        <v>0.38</v>
      </c>
      <c r="AR21" s="51">
        <v>0.5</v>
      </c>
      <c r="AS21" s="51"/>
      <c r="AT21" s="51"/>
      <c r="AU21" s="51">
        <v>1.66</v>
      </c>
      <c r="AV21" s="51"/>
      <c r="AW21" s="51">
        <v>0.92</v>
      </c>
      <c r="AX21" s="51"/>
      <c r="AY21" s="51"/>
      <c r="AZ21" s="52"/>
      <c r="BA21" s="5"/>
      <c r="BB21" s="48"/>
      <c r="BC21" s="49" t="s">
        <v>29</v>
      </c>
      <c r="BD21" s="48"/>
      <c r="BE21" s="50" t="s">
        <v>36</v>
      </c>
      <c r="BF21" s="51">
        <v>0.38</v>
      </c>
      <c r="BG21" s="51">
        <v>0.5</v>
      </c>
      <c r="BH21" s="51"/>
      <c r="BI21" s="51"/>
      <c r="BJ21" s="51">
        <v>0.37</v>
      </c>
      <c r="BK21" s="51"/>
      <c r="BL21" s="51">
        <v>0.51</v>
      </c>
      <c r="BM21" s="51"/>
      <c r="BN21" s="51"/>
      <c r="BO21" s="52"/>
    </row>
    <row r="22" spans="1:67" ht="13.15" customHeight="1" thickBot="1">
      <c r="A22" s="55" t="s">
        <v>43</v>
      </c>
      <c r="D22" s="221">
        <f>Source_Nominal_V</f>
        <v>230</v>
      </c>
      <c r="E22" s="56" t="s">
        <v>44</v>
      </c>
      <c r="G22" s="55" t="s">
        <v>108</v>
      </c>
      <c r="I22" s="57"/>
      <c r="J22" s="55">
        <f>ROUNDUP((Homerun_ZinstPH+Homerun_ZinstCPC),2)</f>
        <v>12.36</v>
      </c>
      <c r="K22" s="238" t="s">
        <v>106</v>
      </c>
      <c r="L22" s="244" t="s">
        <v>259</v>
      </c>
      <c r="M22" s="228">
        <v>4</v>
      </c>
      <c r="N22" s="229">
        <v>3.7</v>
      </c>
      <c r="O22" s="230">
        <f t="shared" si="10"/>
        <v>0.47391304347826085</v>
      </c>
      <c r="P22" s="231">
        <f t="shared" si="4"/>
        <v>2.35</v>
      </c>
      <c r="Q22" s="90">
        <f>IF(L22="FW",(ROUND((((extender_Vd*P22*N22)/1000)),4)),IF(L22="FL",(ROUND((((SD_Vd*P22*N22)/1000)),4)),0))</f>
        <v>0.1565</v>
      </c>
      <c r="R22" s="91">
        <f t="shared" si="5"/>
        <v>1.7170000000000001</v>
      </c>
      <c r="S22" s="87">
        <f t="shared" si="3"/>
        <v>0.75</v>
      </c>
      <c r="T22" s="92">
        <f t="shared" si="6"/>
        <v>0.57999999999999996</v>
      </c>
      <c r="U22" s="93">
        <f t="shared" si="11"/>
        <v>454.85550043753625</v>
      </c>
      <c r="V22" s="57"/>
      <c r="X22" s="94">
        <f t="shared" si="7"/>
        <v>7.999999999999996E-2</v>
      </c>
      <c r="Y22" s="94">
        <f t="shared" si="8"/>
        <v>-77.603432016371983</v>
      </c>
      <c r="Z22" s="94">
        <f t="shared" si="9"/>
        <v>6.9999999999999951E-2</v>
      </c>
      <c r="AH22" s="97" t="s">
        <v>94</v>
      </c>
      <c r="AI22" s="54">
        <f>IF(homerun_ins="LSFZH",70,IF(homerun_ins="XL-LSFZH",90,"ERR"))</f>
        <v>70</v>
      </c>
      <c r="AJ22" s="54">
        <f>IF(extender_ins="LSFZH",70,IF(extender_ins="XL-LSFZH",90,"ERR"))</f>
        <v>70</v>
      </c>
      <c r="AK22" s="54">
        <f>IF(extender_ins="LSFZH",70,IF(extender_ins="XL-LSFZH",90,"ERR"))</f>
        <v>70</v>
      </c>
      <c r="AL22" s="56" t="s">
        <v>95</v>
      </c>
      <c r="AM22" s="98"/>
      <c r="AN22" s="98"/>
      <c r="AO22" s="98"/>
      <c r="AP22" s="99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5"/>
      <c r="BB22" s="98"/>
      <c r="BC22" s="98"/>
      <c r="BD22" s="98"/>
      <c r="BE22" s="99"/>
      <c r="BF22" s="100"/>
      <c r="BG22" s="100"/>
      <c r="BH22" s="100"/>
      <c r="BI22" s="100"/>
      <c r="BJ22" s="100"/>
      <c r="BK22" s="100"/>
      <c r="BL22" s="100"/>
      <c r="BM22" s="100"/>
      <c r="BN22" s="100"/>
      <c r="BO22" s="101"/>
    </row>
    <row r="23" spans="1:67" ht="13.15" customHeight="1">
      <c r="A23" s="55" t="s">
        <v>50</v>
      </c>
      <c r="B23" s="67"/>
      <c r="D23" s="222">
        <v>25</v>
      </c>
      <c r="E23" s="56" t="s">
        <v>51</v>
      </c>
      <c r="G23" s="55" t="s">
        <v>64</v>
      </c>
      <c r="I23" s="57"/>
      <c r="J23" s="110">
        <f>AQ58</f>
        <v>709</v>
      </c>
      <c r="K23" s="237" t="s">
        <v>56</v>
      </c>
      <c r="L23" s="244" t="s">
        <v>259</v>
      </c>
      <c r="M23" s="228">
        <v>5</v>
      </c>
      <c r="N23" s="229">
        <v>3.7</v>
      </c>
      <c r="O23" s="230">
        <f t="shared" si="10"/>
        <v>0.47391304347826085</v>
      </c>
      <c r="P23" s="231">
        <f t="shared" si="4"/>
        <v>1.88</v>
      </c>
      <c r="Q23" s="90">
        <f>IF(L23="FW",(ROUND((((extender_Vd*P23*N23)/1000)),4)),IF(L23="FL",(ROUND((((SD_Vd*P23*N23)/1000)),4)),0))</f>
        <v>0.12520000000000001</v>
      </c>
      <c r="R23" s="91">
        <f t="shared" si="5"/>
        <v>1.8422000000000001</v>
      </c>
      <c r="S23" s="87">
        <f t="shared" si="3"/>
        <v>0.81</v>
      </c>
      <c r="T23" s="92">
        <f t="shared" si="6"/>
        <v>0.66</v>
      </c>
      <c r="U23" s="93">
        <f t="shared" si="11"/>
        <v>396.99527177693551</v>
      </c>
      <c r="V23" s="57"/>
      <c r="X23" s="94">
        <f t="shared" si="7"/>
        <v>8.0000000000000071E-2</v>
      </c>
      <c r="Y23" s="94">
        <f t="shared" si="8"/>
        <v>-57.86022866060074</v>
      </c>
      <c r="Z23" s="94">
        <f t="shared" si="9"/>
        <v>6.0000000000000053E-2</v>
      </c>
      <c r="AH23" s="97" t="s">
        <v>98</v>
      </c>
      <c r="AI23" s="54">
        <f>IF(homerun_ins="LSFZH",160,IF(homerun_ins="XL-LSFZH",250,"ERR"))</f>
        <v>160</v>
      </c>
      <c r="AJ23" s="54">
        <f>IF(extender_ins="LSFZH",160,IF(extender_ins="XL-LSFZH",250,"ERR"))</f>
        <v>160</v>
      </c>
      <c r="AK23" s="54">
        <f>IF(extender_ins="LSFZH",160,IF(extender_ins="XL-LSFZH",250,"ERR"))</f>
        <v>160</v>
      </c>
      <c r="AL23" s="56" t="s">
        <v>95</v>
      </c>
      <c r="BA23" s="5"/>
      <c r="BB23" s="5"/>
    </row>
    <row r="24" spans="1:67" ht="13.15" customHeight="1">
      <c r="A24" s="69" t="s">
        <v>54</v>
      </c>
      <c r="B24" s="69"/>
      <c r="D24" s="70">
        <f ca="1">(Max_VD_percent*100)-VD_Source</f>
        <v>1.85</v>
      </c>
      <c r="E24" s="58" t="s">
        <v>46</v>
      </c>
      <c r="G24" s="55" t="s">
        <v>110</v>
      </c>
      <c r="I24" s="57"/>
      <c r="J24" s="110">
        <f>AQ76</f>
        <v>2000</v>
      </c>
      <c r="K24" s="237"/>
      <c r="L24" s="244" t="s">
        <v>259</v>
      </c>
      <c r="M24" s="228">
        <v>6</v>
      </c>
      <c r="N24" s="229">
        <v>1.9</v>
      </c>
      <c r="O24" s="230">
        <f t="shared" si="10"/>
        <v>0.47391304347826085</v>
      </c>
      <c r="P24" s="231">
        <f t="shared" si="4"/>
        <v>1.41</v>
      </c>
      <c r="Q24" s="90">
        <f>IF(L24="FW",(ROUND((((extender_Vd*P24*N24)/1000)),4)),IF(L24="FL",(ROUND((((SD_Vd*P24*N24)/1000)),4)),0))</f>
        <v>4.82E-2</v>
      </c>
      <c r="R24" s="91">
        <f t="shared" si="5"/>
        <v>1.8904000000000001</v>
      </c>
      <c r="S24" s="87">
        <f t="shared" si="3"/>
        <v>0.83</v>
      </c>
      <c r="T24" s="92">
        <f t="shared" si="6"/>
        <v>0.7</v>
      </c>
      <c r="U24" s="93">
        <f t="shared" si="11"/>
        <v>372.65289022100359</v>
      </c>
      <c r="V24" s="57"/>
      <c r="X24" s="94">
        <f t="shared" si="7"/>
        <v>3.9999999999999925E-2</v>
      </c>
      <c r="Y24" s="94">
        <f t="shared" si="8"/>
        <v>-24.342381555931922</v>
      </c>
      <c r="Z24" s="94">
        <f t="shared" si="9"/>
        <v>1.9999999999999907E-2</v>
      </c>
      <c r="AM24" s="19"/>
      <c r="AN24" s="19"/>
      <c r="AO24" s="19"/>
      <c r="AP24" s="17"/>
      <c r="BA24" s="5"/>
      <c r="BB24" s="5"/>
      <c r="BC24" s="71"/>
    </row>
    <row r="25" spans="1:67" ht="13.15" customHeight="1">
      <c r="A25" s="55" t="s">
        <v>60</v>
      </c>
      <c r="D25" s="217">
        <f>IF(C8="Power",0.4,IF(C8="Lighting",0.4,"err"))</f>
        <v>0.4</v>
      </c>
      <c r="E25" s="56" t="s">
        <v>61</v>
      </c>
      <c r="G25" s="55" t="s">
        <v>111</v>
      </c>
      <c r="I25" s="57"/>
      <c r="J25" s="110">
        <f>143^2*homerun_csa^2</f>
        <v>327184</v>
      </c>
      <c r="K25" s="237"/>
      <c r="L25" s="244" t="s">
        <v>259</v>
      </c>
      <c r="M25" s="228">
        <v>7</v>
      </c>
      <c r="N25" s="229">
        <v>1.8</v>
      </c>
      <c r="O25" s="230">
        <f t="shared" si="10"/>
        <v>0.47391304347826085</v>
      </c>
      <c r="P25" s="231">
        <f t="shared" si="4"/>
        <v>0.94</v>
      </c>
      <c r="Q25" s="90">
        <f>IF(L25="FW",(ROUND((((extender_Vd*P25*N25)/1000)),4)),IF(L25="FL",(ROUND((((SD_Vd*P25*N25)/1000)),4)),0))</f>
        <v>3.0499999999999999E-2</v>
      </c>
      <c r="R25" s="91">
        <f t="shared" si="5"/>
        <v>1.9209000000000001</v>
      </c>
      <c r="S25" s="87">
        <f t="shared" si="3"/>
        <v>0.84</v>
      </c>
      <c r="T25" s="92">
        <f t="shared" si="6"/>
        <v>0.74</v>
      </c>
      <c r="U25" s="93">
        <f t="shared" si="11"/>
        <v>352.19415509850762</v>
      </c>
      <c r="V25" s="57"/>
      <c r="X25" s="94">
        <f t="shared" si="7"/>
        <v>4.0000000000000036E-2</v>
      </c>
      <c r="Y25" s="94">
        <f t="shared" si="8"/>
        <v>-20.458735122495966</v>
      </c>
      <c r="Z25" s="94">
        <f t="shared" si="9"/>
        <v>1.0000000000000009E-2</v>
      </c>
      <c r="AH25" s="53" t="s">
        <v>102</v>
      </c>
      <c r="AI25" s="106">
        <f>IF(ccts_mdb=1,1,IF(ccts_mdb=2,0.86,IF(ccts_mdb=3,0.81,IF(ccts_mdb=4,0.77,IF(ccts_mdb=5,0.75,IF(ccts_mdb=6,0.74,IF(ccts_mdb=7,0.73,IF(ccts_mdb=8,0.73,0))))))))</f>
        <v>0</v>
      </c>
      <c r="AJ25" s="106">
        <f>IF(ccts_extender=1,1,IF(ccts_extender=2,0.86,IF(ccts_extender=3,0.81,IF(ccts_extender=4,0.77,IF(ccts_extender=5,0.75,IF(ccts_extender=6,0.74,IF(ccts_extender=7,0.73,IF(ccts_extender=8,0.73,0))))))))</f>
        <v>1</v>
      </c>
      <c r="AK25" s="106">
        <f>IF(ccts_SD=1,1,IF(ccts_SD=2,0.86,IF(ccts_SD=3,0.81,IF(ccts_SD=4,0.77,IF(ccts_SD=5,0.75,IF(ccts_SD=6,0.74,IF(ccts_SD=7,0.73,IF(ccts_SD=8,0.73,0))))))))</f>
        <v>1</v>
      </c>
      <c r="AM25" s="19"/>
      <c r="AN25" s="19"/>
      <c r="AO25" s="19"/>
      <c r="AP25" s="107"/>
      <c r="BA25" s="5"/>
      <c r="BB25" s="5"/>
    </row>
    <row r="26" spans="1:67" ht="13.15" customHeight="1">
      <c r="G26" s="54" t="s">
        <v>113</v>
      </c>
      <c r="I26" s="57"/>
      <c r="J26" s="113" t="str">
        <f>AI41</f>
        <v>ü</v>
      </c>
      <c r="K26" s="237"/>
      <c r="L26" s="244" t="s">
        <v>259</v>
      </c>
      <c r="M26" s="228">
        <v>8</v>
      </c>
      <c r="N26" s="229">
        <v>3.7</v>
      </c>
      <c r="O26" s="230"/>
      <c r="P26" s="231">
        <f t="shared" si="4"/>
        <v>0.47</v>
      </c>
      <c r="Q26" s="90">
        <f>IF(L26="FW",(ROUND((((extender_Vd*P26*N26)/1000)),4)),IF(L26="FL",(ROUND((((SD_Vd*P26*N26)/1000)),4)),0))</f>
        <v>3.1300000000000001E-2</v>
      </c>
      <c r="R26" s="91">
        <f t="shared" si="5"/>
        <v>1.9522000000000002</v>
      </c>
      <c r="S26" s="87">
        <f t="shared" si="3"/>
        <v>0.85</v>
      </c>
      <c r="T26" s="92">
        <f t="shared" si="6"/>
        <v>0.82000000000000006</v>
      </c>
      <c r="U26" s="93">
        <f t="shared" si="11"/>
        <v>316.47930579610602</v>
      </c>
      <c r="V26" s="57"/>
      <c r="X26" s="94">
        <f t="shared" si="7"/>
        <v>8.0000000000000071E-2</v>
      </c>
      <c r="Y26" s="94">
        <f t="shared" si="8"/>
        <v>-35.714849302401603</v>
      </c>
      <c r="Z26" s="94">
        <f t="shared" si="9"/>
        <v>1.0000000000000009E-2</v>
      </c>
      <c r="AI26" s="11">
        <f>IF(ccts_mdb=9,0.72,IF(ccts_mdb=10,0.71,IF(ccts_mdb=11,0.7,IF(ccts_mdb=12,0.7,IF(ccts_mdb&gt;12,0.7,0)))))</f>
        <v>0.7</v>
      </c>
      <c r="AJ26" s="11">
        <f>IF(ccts_extender=9,0.72,IF(ccts_extender=10,0.71,IF(ccts_extender=11,0.7,IF(ccts_extender=12,0.7,IF(ccts_extender&gt;12,0.7,0)))))</f>
        <v>0</v>
      </c>
      <c r="AK26" s="11">
        <f>IF(ccts_extender=9,0.72,IF(ccts_extender=10,0.71,IF(ccts_extender=11,0.7,IF(ccts_extender=12,0.7,IF(ccts_extender&gt;12,0.7,0)))))</f>
        <v>0</v>
      </c>
      <c r="AL26" s="56"/>
      <c r="AM26" s="18"/>
      <c r="AN26" s="18"/>
      <c r="AO26" s="18"/>
      <c r="AP26" s="108"/>
      <c r="AQ26" s="109"/>
      <c r="BA26" s="5"/>
      <c r="BB26" s="5"/>
    </row>
    <row r="27" spans="1:67" ht="13.15" customHeight="1">
      <c r="G27" s="7"/>
      <c r="I27" s="7"/>
      <c r="J27" s="7"/>
      <c r="K27" s="239"/>
      <c r="L27" s="244" t="s">
        <v>260</v>
      </c>
      <c r="M27" s="228">
        <v>9</v>
      </c>
      <c r="N27" s="229">
        <v>1</v>
      </c>
      <c r="O27" s="230">
        <f t="shared" si="10"/>
        <v>0.47391304347826085</v>
      </c>
      <c r="P27" s="231">
        <f t="shared" si="4"/>
        <v>0.47</v>
      </c>
      <c r="Q27" s="90">
        <f>IF(L27="FW",(ROUND((((extender_Vd*P27*N27)/1000)),4)),IF(L27="FL",(ROUND((((SD_Vd*P27*N27)/1000)),4)),0))</f>
        <v>1.4999999999999999E-2</v>
      </c>
      <c r="R27" s="91">
        <f t="shared" si="5"/>
        <v>1.9672000000000001</v>
      </c>
      <c r="S27" s="87">
        <f t="shared" si="3"/>
        <v>0.86</v>
      </c>
      <c r="T27" s="92">
        <f t="shared" si="6"/>
        <v>0.84</v>
      </c>
      <c r="U27" s="93">
        <f t="shared" si="11"/>
        <v>308.0368721021614</v>
      </c>
      <c r="V27" s="57"/>
      <c r="X27" s="94">
        <f t="shared" si="7"/>
        <v>1.9999999999999907E-2</v>
      </c>
      <c r="Y27" s="94">
        <f t="shared" si="8"/>
        <v>-8.4424336939446221</v>
      </c>
      <c r="Z27" s="94">
        <f t="shared" si="9"/>
        <v>1.0000000000000009E-2</v>
      </c>
      <c r="AH27" s="53" t="s">
        <v>107</v>
      </c>
      <c r="AI27" s="106">
        <f>SUM(AI25:AI26)</f>
        <v>0.7</v>
      </c>
      <c r="AJ27" s="106">
        <f>SUM(AJ25:AJ26)</f>
        <v>1</v>
      </c>
      <c r="AK27" s="106">
        <f>SUM(AK25:AK26)</f>
        <v>1</v>
      </c>
      <c r="AL27" s="56"/>
      <c r="AM27" s="18"/>
      <c r="AN27" s="18"/>
      <c r="AO27" s="18"/>
      <c r="AP27" s="108"/>
      <c r="AQ27" s="109"/>
      <c r="BA27" s="5"/>
      <c r="BB27" s="5"/>
    </row>
    <row r="28" spans="1:67" ht="13.15" customHeight="1">
      <c r="A28" s="30" t="s">
        <v>67</v>
      </c>
      <c r="D28" s="55"/>
      <c r="E28" s="56"/>
      <c r="K28" s="240"/>
      <c r="L28" s="244"/>
      <c r="M28" s="228"/>
      <c r="N28" s="229"/>
      <c r="O28" s="230"/>
      <c r="P28" s="231">
        <f t="shared" si="4"/>
        <v>0</v>
      </c>
      <c r="Q28" s="90">
        <f>IF(L28="FW",(ROUND((((extender_Vd*P28*N28)/1000)),4)),IF(L28="FL",(ROUND((((SD_Vd*P28*N28)/1000)),4)),0))</f>
        <v>0</v>
      </c>
      <c r="R28" s="91">
        <f t="shared" si="5"/>
        <v>0</v>
      </c>
      <c r="S28" s="87">
        <f t="shared" si="3"/>
        <v>0</v>
      </c>
      <c r="T28" s="92">
        <f t="shared" si="6"/>
        <v>0</v>
      </c>
      <c r="U28" s="93">
        <f t="shared" si="11"/>
        <v>0</v>
      </c>
      <c r="V28" s="57"/>
      <c r="X28" s="94">
        <f t="shared" si="7"/>
        <v>0</v>
      </c>
      <c r="Y28" s="94">
        <f t="shared" si="8"/>
        <v>0</v>
      </c>
      <c r="Z28" s="94">
        <f t="shared" si="9"/>
        <v>0</v>
      </c>
      <c r="AI28" s="55"/>
      <c r="AJ28" s="5"/>
      <c r="AK28" s="5"/>
      <c r="AL28" s="5"/>
      <c r="AM28" s="18"/>
      <c r="AN28" s="18"/>
      <c r="AO28" s="18"/>
      <c r="AP28" s="108"/>
      <c r="AQ28" s="109"/>
    </row>
    <row r="29" spans="1:67" ht="13.15" customHeight="1">
      <c r="A29" s="55" t="s">
        <v>75</v>
      </c>
      <c r="B29" s="30"/>
      <c r="D29" s="156">
        <v>10</v>
      </c>
      <c r="E29" s="55" t="s">
        <v>56</v>
      </c>
      <c r="G29" s="96" t="s">
        <v>254</v>
      </c>
      <c r="I29" s="57"/>
      <c r="J29" s="96"/>
      <c r="K29" s="237"/>
      <c r="L29" s="244"/>
      <c r="M29" s="228"/>
      <c r="N29" s="229"/>
      <c r="O29" s="230"/>
      <c r="P29" s="231">
        <f t="shared" si="4"/>
        <v>0</v>
      </c>
      <c r="Q29" s="90">
        <f>IF(L29="FW",(ROUND((((extender_Vd*P29*N29)/1000)),4)),IF(L29="FL",(ROUND((((SD_Vd*P29*N29)/1000)),4)),0))</f>
        <v>0</v>
      </c>
      <c r="R29" s="91">
        <f t="shared" si="5"/>
        <v>0</v>
      </c>
      <c r="S29" s="87">
        <f t="shared" si="3"/>
        <v>0</v>
      </c>
      <c r="T29" s="92">
        <f t="shared" si="6"/>
        <v>0</v>
      </c>
      <c r="U29" s="93">
        <f t="shared" si="11"/>
        <v>0</v>
      </c>
      <c r="V29" s="57"/>
      <c r="X29" s="94">
        <f t="shared" si="7"/>
        <v>0</v>
      </c>
      <c r="Y29" s="94">
        <f t="shared" si="8"/>
        <v>0</v>
      </c>
      <c r="Z29" s="94">
        <f t="shared" si="9"/>
        <v>0</v>
      </c>
      <c r="AH29" s="53" t="s">
        <v>109</v>
      </c>
      <c r="AI29" s="106">
        <f>In/Homerun_Cg</f>
        <v>14.285714285714286</v>
      </c>
      <c r="AJ29" s="106">
        <f>In/extender_Cg</f>
        <v>10</v>
      </c>
      <c r="AK29" s="106">
        <f>In/SD_Cg</f>
        <v>10</v>
      </c>
      <c r="AL29" s="5"/>
      <c r="AM29" s="108"/>
      <c r="AN29" s="108"/>
      <c r="AO29" s="108"/>
      <c r="AP29" s="108"/>
      <c r="AQ29" s="32">
        <f t="shared" ref="AQ29:AY29" si="12">IF(AND(In=6,cpd_type="B"),AQ4,IF(AND(In=6,cpd_type="C"),AQ5,IF(AND(In=6,cpd_type="D"),AQ6,0)))</f>
        <v>0</v>
      </c>
      <c r="AR29" s="32">
        <f t="shared" si="12"/>
        <v>0</v>
      </c>
      <c r="AS29" s="32">
        <f t="shared" si="12"/>
        <v>0</v>
      </c>
      <c r="AT29" s="32">
        <f t="shared" si="12"/>
        <v>0</v>
      </c>
      <c r="AU29" s="32">
        <f t="shared" si="12"/>
        <v>0</v>
      </c>
      <c r="AV29" s="32">
        <f t="shared" si="12"/>
        <v>0</v>
      </c>
      <c r="AW29" s="32">
        <f t="shared" si="12"/>
        <v>0</v>
      </c>
      <c r="AX29" s="32">
        <f t="shared" si="12"/>
        <v>0</v>
      </c>
      <c r="AY29" s="32">
        <f t="shared" si="12"/>
        <v>0</v>
      </c>
    </row>
    <row r="30" spans="1:67" ht="13.15" customHeight="1">
      <c r="A30" s="55" t="s">
        <v>84</v>
      </c>
      <c r="B30" s="55"/>
      <c r="D30" s="157" t="s">
        <v>30</v>
      </c>
      <c r="E30" s="56"/>
      <c r="G30" s="69" t="s">
        <v>119</v>
      </c>
      <c r="I30" s="57"/>
      <c r="J30" s="153">
        <v>1</v>
      </c>
      <c r="K30" s="237"/>
      <c r="L30" s="244"/>
      <c r="M30" s="228"/>
      <c r="N30" s="229"/>
      <c r="O30" s="230"/>
      <c r="P30" s="231">
        <f t="shared" si="4"/>
        <v>0</v>
      </c>
      <c r="Q30" s="90">
        <f>IF(L30="FW",(ROUND((((extender_Vd*P30*N30)/1000)),4)),IF(L30="FL",(ROUND((((SD_Vd*P30*N30)/1000)),4)),0))</f>
        <v>0</v>
      </c>
      <c r="R30" s="91">
        <f t="shared" si="5"/>
        <v>0</v>
      </c>
      <c r="S30" s="87">
        <f t="shared" si="3"/>
        <v>0</v>
      </c>
      <c r="T30" s="92">
        <f t="shared" si="6"/>
        <v>0</v>
      </c>
      <c r="U30" s="93">
        <f t="shared" si="11"/>
        <v>0</v>
      </c>
      <c r="V30" s="57"/>
      <c r="X30" s="94">
        <f t="shared" si="7"/>
        <v>0</v>
      </c>
      <c r="Y30" s="94">
        <f t="shared" si="8"/>
        <v>0</v>
      </c>
      <c r="Z30" s="94">
        <f t="shared" si="9"/>
        <v>0</v>
      </c>
      <c r="AL30" s="5"/>
      <c r="AQ30" s="111">
        <f>IF(AND(In=10,cpd_type="B"),AQ7,IF(AND(In=10,cpd_type="C"),AQ8,IF(AND(In=10,cpd_type="D"),AQ9,)))</f>
        <v>2.4</v>
      </c>
      <c r="AR30" s="111">
        <f t="shared" ref="AR30:AY30" si="13">IF(AND(In=10,cpd_type="B"),AR7,IF(AND(In=10,cpd_type="C"),AR8,IF(AND(In=10,cpd_type="D"),AR9,0)))</f>
        <v>2.2000000000000002</v>
      </c>
      <c r="AS30" s="111">
        <f t="shared" si="13"/>
        <v>0</v>
      </c>
      <c r="AT30" s="111">
        <f t="shared" si="13"/>
        <v>0</v>
      </c>
      <c r="AU30" s="111">
        <f t="shared" si="13"/>
        <v>5.33</v>
      </c>
      <c r="AV30" s="111">
        <f t="shared" si="13"/>
        <v>0</v>
      </c>
      <c r="AW30" s="111">
        <f t="shared" si="13"/>
        <v>2.95</v>
      </c>
      <c r="AX30" s="111">
        <f t="shared" si="13"/>
        <v>0</v>
      </c>
      <c r="AY30" s="111">
        <f t="shared" si="13"/>
        <v>0</v>
      </c>
      <c r="BC30" s="34"/>
      <c r="BE30" s="102"/>
      <c r="BF30" s="111">
        <f>IF(AND(In=10,cpd_type="B"),BF7,IF(AND(In=10,cpd_type="C"),BF8,IF(AND(In=10,cpd_type="D"),BF9,)))</f>
        <v>2.4</v>
      </c>
      <c r="BG30" s="111">
        <f t="shared" ref="BG30:BN30" si="14">IF(AND(In=10,cpd_type="B"),BG7,IF(AND(In=10,cpd_type="C"),BG8,IF(AND(In=10,cpd_type="D"),BG9,0)))</f>
        <v>2.2000000000000002</v>
      </c>
      <c r="BH30" s="111">
        <f t="shared" si="14"/>
        <v>0</v>
      </c>
      <c r="BI30" s="111">
        <f t="shared" si="14"/>
        <v>0</v>
      </c>
      <c r="BJ30" s="111">
        <f t="shared" si="14"/>
        <v>2.4</v>
      </c>
      <c r="BK30" s="111">
        <f t="shared" si="14"/>
        <v>0</v>
      </c>
      <c r="BL30" s="111">
        <f t="shared" si="14"/>
        <v>2.2999999999999998</v>
      </c>
      <c r="BM30" s="111">
        <f t="shared" si="14"/>
        <v>0</v>
      </c>
      <c r="BN30" s="111">
        <f t="shared" si="14"/>
        <v>0</v>
      </c>
    </row>
    <row r="31" spans="1:67" ht="13.15" customHeight="1">
      <c r="A31" s="55" t="s">
        <v>88</v>
      </c>
      <c r="B31" s="55"/>
      <c r="D31" s="158" t="s">
        <v>10</v>
      </c>
      <c r="E31" s="56"/>
      <c r="G31" s="55" t="s">
        <v>96</v>
      </c>
      <c r="I31" s="57"/>
      <c r="J31" s="154">
        <v>2.5</v>
      </c>
      <c r="K31" s="241" t="s">
        <v>97</v>
      </c>
      <c r="L31" s="244"/>
      <c r="M31" s="228"/>
      <c r="N31" s="229"/>
      <c r="O31" s="230"/>
      <c r="P31" s="231">
        <f t="shared" si="4"/>
        <v>0</v>
      </c>
      <c r="Q31" s="90">
        <f>IF(L31="FW",(ROUND((((extender_Vd*P31*N31)/1000)),4)),IF(L31="FL",(ROUND((((SD_Vd*P31*N31)/1000)),4)),0))</f>
        <v>0</v>
      </c>
      <c r="R31" s="91">
        <f t="shared" si="5"/>
        <v>0</v>
      </c>
      <c r="S31" s="87">
        <f t="shared" si="3"/>
        <v>0</v>
      </c>
      <c r="T31" s="92">
        <f t="shared" si="6"/>
        <v>0</v>
      </c>
      <c r="U31" s="93">
        <f t="shared" si="11"/>
        <v>0</v>
      </c>
      <c r="V31" s="57"/>
      <c r="X31" s="94">
        <f t="shared" si="7"/>
        <v>0</v>
      </c>
      <c r="Y31" s="94">
        <f t="shared" si="8"/>
        <v>0</v>
      </c>
      <c r="Z31" s="94">
        <f t="shared" si="9"/>
        <v>0</v>
      </c>
      <c r="AH31" s="53" t="s">
        <v>112</v>
      </c>
      <c r="AI31" s="106" t="str">
        <f>CPD</f>
        <v>Schneider</v>
      </c>
      <c r="AL31" s="5"/>
      <c r="AM31" s="112"/>
      <c r="AN31" s="112"/>
      <c r="AO31" s="112"/>
      <c r="AP31" s="112"/>
      <c r="AQ31" s="111">
        <f t="shared" ref="AQ31:AY31" si="15">IF(AND(In=16,cpd_type="B"),AQ10,IF(AND(In=16,cpd_type="C"),AQ11,IF(AND(In=16,cpd_type="D"),AQ12,0)))</f>
        <v>0</v>
      </c>
      <c r="AR31" s="111">
        <f t="shared" si="15"/>
        <v>0</v>
      </c>
      <c r="AS31" s="111">
        <f t="shared" si="15"/>
        <v>0</v>
      </c>
      <c r="AT31" s="111">
        <f t="shared" si="15"/>
        <v>0</v>
      </c>
      <c r="AU31" s="111">
        <f t="shared" si="15"/>
        <v>0</v>
      </c>
      <c r="AV31" s="111">
        <f t="shared" si="15"/>
        <v>0</v>
      </c>
      <c r="AW31" s="111">
        <f t="shared" si="15"/>
        <v>0</v>
      </c>
      <c r="AX31" s="111">
        <f t="shared" si="15"/>
        <v>0</v>
      </c>
      <c r="AY31" s="111">
        <f t="shared" si="15"/>
        <v>0</v>
      </c>
      <c r="BC31" s="34"/>
      <c r="BE31" s="112"/>
      <c r="BF31" s="111">
        <f t="shared" ref="BF31:BN31" si="16">IF(AND(In=16,cpd_type="B"),BF10,IF(AND(In=16,cpd_type="C"),BF11,IF(AND(In=16,cpd_type="D"),BF12,0)))</f>
        <v>0</v>
      </c>
      <c r="BG31" s="111">
        <f t="shared" si="16"/>
        <v>0</v>
      </c>
      <c r="BH31" s="111">
        <f t="shared" si="16"/>
        <v>0</v>
      </c>
      <c r="BI31" s="111">
        <f t="shared" si="16"/>
        <v>0</v>
      </c>
      <c r="BJ31" s="111">
        <f t="shared" si="16"/>
        <v>0</v>
      </c>
      <c r="BK31" s="111">
        <f t="shared" si="16"/>
        <v>0</v>
      </c>
      <c r="BL31" s="111">
        <f t="shared" si="16"/>
        <v>0</v>
      </c>
      <c r="BM31" s="111">
        <f t="shared" si="16"/>
        <v>0</v>
      </c>
      <c r="BN31" s="111">
        <f t="shared" si="16"/>
        <v>0</v>
      </c>
    </row>
    <row r="32" spans="1:67" ht="13.15" customHeight="1">
      <c r="A32" s="55" t="s">
        <v>90</v>
      </c>
      <c r="B32" s="55"/>
      <c r="D32" s="70">
        <f>Zs</f>
        <v>2.4</v>
      </c>
      <c r="E32" s="72" t="s">
        <v>63</v>
      </c>
      <c r="G32" s="55" t="s">
        <v>99</v>
      </c>
      <c r="I32" s="57"/>
      <c r="J32" s="155" t="s">
        <v>148</v>
      </c>
      <c r="K32" s="237"/>
      <c r="L32" s="244"/>
      <c r="M32" s="228"/>
      <c r="N32" s="229"/>
      <c r="O32" s="230"/>
      <c r="P32" s="231">
        <f t="shared" si="4"/>
        <v>0</v>
      </c>
      <c r="Q32" s="90">
        <f>IF(L32="FW",(ROUND((((extender_Vd*P32*N32)/1000)),4)),IF(L32="FL",(ROUND((((SD_Vd*P32*N32)/1000)),4)),0))</f>
        <v>0</v>
      </c>
      <c r="R32" s="91">
        <f t="shared" si="5"/>
        <v>0</v>
      </c>
      <c r="S32" s="87">
        <f t="shared" si="3"/>
        <v>0</v>
      </c>
      <c r="T32" s="92">
        <f t="shared" si="6"/>
        <v>0</v>
      </c>
      <c r="U32" s="93">
        <f t="shared" si="11"/>
        <v>0</v>
      </c>
      <c r="V32" s="57"/>
      <c r="X32" s="94">
        <f t="shared" si="7"/>
        <v>0</v>
      </c>
      <c r="Y32" s="94">
        <f t="shared" si="8"/>
        <v>0</v>
      </c>
      <c r="Z32" s="94">
        <f t="shared" si="9"/>
        <v>0</v>
      </c>
      <c r="AH32" s="53" t="s">
        <v>114</v>
      </c>
      <c r="AI32" s="106">
        <f>IF(CPD="BS7671",AQ35,IF(CPD="ABB",AR35,IF(CPD="Crabtree",AS35,IF(CPD="Dorman",AT35,IF(CPD="Hager",AU35,IF(CPD="MEM",AV35,IF(CPD="Schneider",AW35,IF(CPD="Sq D",AY35,"ERR"))))))))</f>
        <v>2.95</v>
      </c>
      <c r="AL32" s="5"/>
      <c r="AQ32" s="111">
        <f>IF(AND(In=20,cpd_type="B"),AQ13,IF(AND(In=20,cpd_type="C"),AQ14,IF(AND(In=20,cpd_type="D"),AQ15,0)))</f>
        <v>0</v>
      </c>
      <c r="AR32" s="111">
        <f t="shared" ref="AR32:AY32" si="17">IF(AND(In=20,cpd_type="B"),AR13,IF(AND(In=20,cpd_type="C"),AR14,IF(AND(In=20,cpd_type="D"),AR15,IF(AND(In=25,cpd_type="D"),AR18,IF(AND(In=25,cpd_type="D"),AR21,0)))))</f>
        <v>0</v>
      </c>
      <c r="AS32" s="111">
        <f t="shared" si="17"/>
        <v>0</v>
      </c>
      <c r="AT32" s="111">
        <f t="shared" si="17"/>
        <v>0</v>
      </c>
      <c r="AU32" s="111">
        <f t="shared" si="17"/>
        <v>0</v>
      </c>
      <c r="AV32" s="111">
        <f t="shared" si="17"/>
        <v>0</v>
      </c>
      <c r="AW32" s="111">
        <f t="shared" si="17"/>
        <v>0</v>
      </c>
      <c r="AX32" s="111">
        <f t="shared" si="17"/>
        <v>0</v>
      </c>
      <c r="AY32" s="111">
        <f t="shared" si="17"/>
        <v>0</v>
      </c>
      <c r="BE32" s="102"/>
      <c r="BF32" s="111">
        <f>IF(AND(In=20,cpd_type="B"),BF13,IF(AND(In=20,cpd_type="C"),BF14,IF(AND(In=20,cpd_type="D"),BF15,0)))</f>
        <v>0</v>
      </c>
      <c r="BG32" s="111">
        <f t="shared" ref="BG32:BN32" si="18">IF(AND(In=20,cpd_type="B"),BG13,IF(AND(In=20,cpd_type="C"),BG14,IF(AND(In=20,cpd_type="D"),BG15,IF(AND(In=25,cpd_type="D"),BG18,IF(AND(In=25,cpd_type="D"),BG21,0)))))</f>
        <v>0</v>
      </c>
      <c r="BH32" s="111">
        <f t="shared" si="18"/>
        <v>0</v>
      </c>
      <c r="BI32" s="111">
        <f t="shared" si="18"/>
        <v>0</v>
      </c>
      <c r="BJ32" s="111">
        <f t="shared" si="18"/>
        <v>0</v>
      </c>
      <c r="BK32" s="111">
        <f t="shared" si="18"/>
        <v>0</v>
      </c>
      <c r="BL32" s="111">
        <f t="shared" si="18"/>
        <v>0</v>
      </c>
      <c r="BM32" s="111">
        <f t="shared" si="18"/>
        <v>0</v>
      </c>
      <c r="BN32" s="111">
        <f t="shared" si="18"/>
        <v>0</v>
      </c>
    </row>
    <row r="33" spans="2:66" ht="13.15" customHeight="1">
      <c r="G33" s="55" t="s">
        <v>206</v>
      </c>
      <c r="J33" s="55">
        <f>extender_tp</f>
        <v>70</v>
      </c>
      <c r="K33" s="56" t="s">
        <v>261</v>
      </c>
      <c r="L33" s="244"/>
      <c r="M33" s="228"/>
      <c r="N33" s="229"/>
      <c r="O33" s="230"/>
      <c r="P33" s="231">
        <f t="shared" si="4"/>
        <v>0</v>
      </c>
      <c r="Q33" s="90">
        <f>IF(L33="FW",(ROUND((((extender_Vd*P33*N33)/1000)),4)),IF(L33="FL",(ROUND((((SD_Vd*P33*N33)/1000)),4)),0))</f>
        <v>0</v>
      </c>
      <c r="R33" s="91">
        <f t="shared" si="5"/>
        <v>0</v>
      </c>
      <c r="S33" s="87">
        <f t="shared" si="3"/>
        <v>0</v>
      </c>
      <c r="T33" s="92">
        <f t="shared" si="6"/>
        <v>0</v>
      </c>
      <c r="U33" s="93">
        <f t="shared" si="11"/>
        <v>0</v>
      </c>
      <c r="V33" s="57"/>
      <c r="X33" s="94">
        <f t="shared" si="7"/>
        <v>0</v>
      </c>
      <c r="Y33" s="94">
        <f t="shared" si="8"/>
        <v>0</v>
      </c>
      <c r="Z33" s="94">
        <f t="shared" si="9"/>
        <v>0</v>
      </c>
      <c r="AH33" s="53" t="s">
        <v>115</v>
      </c>
      <c r="AI33" s="106">
        <f>IF(CPD="BS7671",BF35,IF(CPD="ABB",BG35,IF(CPD="Crabtree",BH35,IF(CPD="Dorman",BI35,IF(CPD="Hager",BJ35,IF(CPD="MEM",BK35,IF(CPD="Schneider",BJ35,IF(CPD="Sq D",BN35,"ERR"))))))))</f>
        <v>2.4</v>
      </c>
      <c r="AQ33" s="111">
        <f t="shared" ref="AQ33:AY33" si="19">IF(AND(In=25,cpd_type="B"),AQ16,IF(AND(In=25,cpd_type="C"),AQ17,IF(AND(In=25,cpd_type="D"),AQ18,0)))</f>
        <v>0</v>
      </c>
      <c r="AR33" s="111">
        <f t="shared" si="19"/>
        <v>0</v>
      </c>
      <c r="AS33" s="111">
        <f t="shared" si="19"/>
        <v>0</v>
      </c>
      <c r="AT33" s="111">
        <f t="shared" si="19"/>
        <v>0</v>
      </c>
      <c r="AU33" s="111">
        <f t="shared" si="19"/>
        <v>0</v>
      </c>
      <c r="AV33" s="111">
        <f t="shared" si="19"/>
        <v>0</v>
      </c>
      <c r="AW33" s="111">
        <f t="shared" si="19"/>
        <v>0</v>
      </c>
      <c r="AX33" s="111">
        <f t="shared" si="19"/>
        <v>0</v>
      </c>
      <c r="AY33" s="111">
        <f t="shared" si="19"/>
        <v>0</v>
      </c>
      <c r="BC33" s="34"/>
      <c r="BE33" s="102"/>
      <c r="BF33" s="111">
        <f t="shared" ref="BF33:BN33" si="20">IF(AND(In=25,cpd_type="B"),BF16,IF(AND(In=25,cpd_type="C"),BF17,IF(AND(In=25,cpd_type="D"),BF18,0)))</f>
        <v>0</v>
      </c>
      <c r="BG33" s="111">
        <f t="shared" si="20"/>
        <v>0</v>
      </c>
      <c r="BH33" s="111">
        <f t="shared" si="20"/>
        <v>0</v>
      </c>
      <c r="BI33" s="111">
        <f t="shared" si="20"/>
        <v>0</v>
      </c>
      <c r="BJ33" s="111">
        <f t="shared" si="20"/>
        <v>0</v>
      </c>
      <c r="BK33" s="111">
        <f t="shared" si="20"/>
        <v>0</v>
      </c>
      <c r="BL33" s="111">
        <f t="shared" si="20"/>
        <v>0</v>
      </c>
      <c r="BM33" s="111">
        <f t="shared" si="20"/>
        <v>0</v>
      </c>
      <c r="BN33" s="111">
        <f t="shared" si="20"/>
        <v>0</v>
      </c>
    </row>
    <row r="34" spans="2:66" ht="13.15" customHeight="1">
      <c r="G34" s="55" t="s">
        <v>101</v>
      </c>
      <c r="I34" s="57"/>
      <c r="J34" s="55">
        <f>extender_It1</f>
        <v>30</v>
      </c>
      <c r="K34" s="237" t="s">
        <v>56</v>
      </c>
      <c r="L34" s="244"/>
      <c r="M34" s="228"/>
      <c r="N34" s="229"/>
      <c r="O34" s="230"/>
      <c r="P34" s="231">
        <f t="shared" si="4"/>
        <v>0</v>
      </c>
      <c r="Q34" s="90">
        <f>IF(L34="FW",(ROUND((((extender_Vd*P34*N34)/1000)),4)),IF(L34="FL",(ROUND((((SD_Vd*P34*N34)/1000)),4)),0))</f>
        <v>0</v>
      </c>
      <c r="R34" s="91">
        <f t="shared" si="5"/>
        <v>0</v>
      </c>
      <c r="S34" s="87">
        <f t="shared" si="3"/>
        <v>0</v>
      </c>
      <c r="T34" s="92">
        <f t="shared" si="6"/>
        <v>0</v>
      </c>
      <c r="U34" s="93">
        <f t="shared" si="11"/>
        <v>0</v>
      </c>
      <c r="V34" s="57"/>
      <c r="X34" s="94">
        <f t="shared" si="7"/>
        <v>0</v>
      </c>
      <c r="Y34" s="94">
        <f t="shared" si="8"/>
        <v>0</v>
      </c>
      <c r="Z34" s="94">
        <f t="shared" si="9"/>
        <v>0</v>
      </c>
      <c r="AH34" s="118" t="s">
        <v>57</v>
      </c>
      <c r="AI34" s="119">
        <f>IF(Disconnection_Time=5,AI32,IF(Disconnection_Time=0.4,AI33,"Error"))</f>
        <v>2.4</v>
      </c>
      <c r="AQ34" s="111">
        <f t="shared" ref="AQ34:AY34" si="21">IF(AND(In=32,cpd_type="B"),AQ19,IF(AND(In=32,cpd_type="C"),AQ20,IF(AND(In=32,cpd_type="D"),AQ21,0)))</f>
        <v>0</v>
      </c>
      <c r="AR34" s="111">
        <f t="shared" si="21"/>
        <v>0</v>
      </c>
      <c r="AS34" s="111">
        <f t="shared" si="21"/>
        <v>0</v>
      </c>
      <c r="AT34" s="111">
        <f t="shared" si="21"/>
        <v>0</v>
      </c>
      <c r="AU34" s="111">
        <f t="shared" si="21"/>
        <v>0</v>
      </c>
      <c r="AV34" s="111">
        <f t="shared" si="21"/>
        <v>0</v>
      </c>
      <c r="AW34" s="111">
        <f t="shared" si="21"/>
        <v>0</v>
      </c>
      <c r="AX34" s="111">
        <f t="shared" si="21"/>
        <v>0</v>
      </c>
      <c r="AY34" s="111">
        <f t="shared" si="21"/>
        <v>0</v>
      </c>
      <c r="BC34" s="34"/>
      <c r="BE34" s="102"/>
      <c r="BF34" s="111">
        <f t="shared" ref="BF34:BN34" si="22">IF(AND(In=32,cpd_type="B"),BF19,IF(AND(In=32,cpd_type="C"),BF20,IF(AND(In=32,cpd_type="D"),BF21,0)))</f>
        <v>0</v>
      </c>
      <c r="BG34" s="111">
        <f t="shared" si="22"/>
        <v>0</v>
      </c>
      <c r="BH34" s="111">
        <f t="shared" si="22"/>
        <v>0</v>
      </c>
      <c r="BI34" s="111">
        <f t="shared" si="22"/>
        <v>0</v>
      </c>
      <c r="BJ34" s="111">
        <f t="shared" si="22"/>
        <v>0</v>
      </c>
      <c r="BK34" s="111">
        <f t="shared" si="22"/>
        <v>0</v>
      </c>
      <c r="BL34" s="111">
        <f t="shared" si="22"/>
        <v>0</v>
      </c>
      <c r="BM34" s="111">
        <f t="shared" si="22"/>
        <v>0</v>
      </c>
      <c r="BN34" s="111">
        <f t="shared" si="22"/>
        <v>0</v>
      </c>
    </row>
    <row r="35" spans="2:66" ht="13.15" customHeight="1">
      <c r="G35" s="55" t="s">
        <v>103</v>
      </c>
      <c r="I35" s="57"/>
      <c r="J35" s="55">
        <f>extender_Vd1</f>
        <v>18</v>
      </c>
      <c r="K35" s="237" t="s">
        <v>104</v>
      </c>
      <c r="L35" s="244"/>
      <c r="M35" s="228"/>
      <c r="N35" s="229"/>
      <c r="O35" s="230"/>
      <c r="P35" s="231">
        <f t="shared" si="4"/>
        <v>0</v>
      </c>
      <c r="Q35" s="90">
        <f>IF(L35="FW",(ROUND((((extender_Vd*P35*N35)/1000)),4)),IF(L35="FL",(ROUND((((SD_Vd*P35*N35)/1000)),4)),0))</f>
        <v>0</v>
      </c>
      <c r="R35" s="91">
        <f t="shared" si="5"/>
        <v>0</v>
      </c>
      <c r="S35" s="87">
        <f t="shared" si="3"/>
        <v>0</v>
      </c>
      <c r="T35" s="92">
        <f t="shared" si="6"/>
        <v>0</v>
      </c>
      <c r="U35" s="93">
        <f t="shared" si="11"/>
        <v>0</v>
      </c>
      <c r="V35" s="57"/>
      <c r="X35" s="94">
        <f t="shared" si="7"/>
        <v>0</v>
      </c>
      <c r="Y35" s="94">
        <f t="shared" si="8"/>
        <v>0</v>
      </c>
      <c r="Z35" s="94">
        <f t="shared" si="9"/>
        <v>0</v>
      </c>
      <c r="AD35" s="55"/>
      <c r="AE35" s="55"/>
      <c r="AP35" s="18" t="s">
        <v>121</v>
      </c>
      <c r="AQ35" s="111">
        <f t="shared" ref="AQ35:AY35" si="23">SUM(AQ29:AQ34)</f>
        <v>2.4</v>
      </c>
      <c r="AR35" s="111">
        <f t="shared" si="23"/>
        <v>2.2000000000000002</v>
      </c>
      <c r="AS35" s="111">
        <f t="shared" si="23"/>
        <v>0</v>
      </c>
      <c r="AT35" s="111">
        <f t="shared" si="23"/>
        <v>0</v>
      </c>
      <c r="AU35" s="111">
        <f t="shared" si="23"/>
        <v>5.33</v>
      </c>
      <c r="AV35" s="111">
        <f t="shared" si="23"/>
        <v>0</v>
      </c>
      <c r="AW35" s="111">
        <f t="shared" si="23"/>
        <v>2.95</v>
      </c>
      <c r="AX35" s="111">
        <f t="shared" si="23"/>
        <v>0</v>
      </c>
      <c r="AY35" s="111">
        <f t="shared" si="23"/>
        <v>0</v>
      </c>
      <c r="BC35" s="34"/>
      <c r="BE35" s="18" t="s">
        <v>121</v>
      </c>
      <c r="BF35" s="111">
        <f t="shared" ref="BF35:BN35" si="24">SUM(BF29:BF34)</f>
        <v>2.4</v>
      </c>
      <c r="BG35" s="111">
        <f t="shared" si="24"/>
        <v>2.2000000000000002</v>
      </c>
      <c r="BH35" s="111">
        <f t="shared" si="24"/>
        <v>0</v>
      </c>
      <c r="BI35" s="111">
        <f t="shared" si="24"/>
        <v>0</v>
      </c>
      <c r="BJ35" s="111">
        <f t="shared" si="24"/>
        <v>2.4</v>
      </c>
      <c r="BK35" s="111">
        <f t="shared" si="24"/>
        <v>0</v>
      </c>
      <c r="BL35" s="111">
        <f t="shared" si="24"/>
        <v>2.2999999999999998</v>
      </c>
      <c r="BM35" s="111">
        <f t="shared" si="24"/>
        <v>0</v>
      </c>
      <c r="BN35" s="111">
        <f t="shared" si="24"/>
        <v>0</v>
      </c>
    </row>
    <row r="36" spans="2:66" ht="13.15" customHeight="1">
      <c r="G36" s="55" t="s">
        <v>105</v>
      </c>
      <c r="J36" s="55">
        <f>extender_Z1</f>
        <v>7.98</v>
      </c>
      <c r="K36" s="238" t="s">
        <v>106</v>
      </c>
      <c r="L36" s="244"/>
      <c r="M36" s="228"/>
      <c r="N36" s="229"/>
      <c r="O36" s="230"/>
      <c r="P36" s="231">
        <f t="shared" si="4"/>
        <v>0</v>
      </c>
      <c r="Q36" s="90">
        <f>IF(L36="FW",(ROUND((((extender_Vd*P36*N36)/1000)),4)),IF(L36="FL",(ROUND((((SD_Vd*P36*N36)/1000)),4)),0))</f>
        <v>0</v>
      </c>
      <c r="R36" s="91">
        <f t="shared" si="5"/>
        <v>0</v>
      </c>
      <c r="S36" s="87">
        <f t="shared" si="3"/>
        <v>0</v>
      </c>
      <c r="T36" s="92">
        <f t="shared" si="6"/>
        <v>0</v>
      </c>
      <c r="U36" s="93">
        <f t="shared" si="11"/>
        <v>0</v>
      </c>
      <c r="V36" s="57"/>
      <c r="X36" s="94">
        <f t="shared" si="7"/>
        <v>0</v>
      </c>
      <c r="Y36" s="94">
        <f t="shared" si="8"/>
        <v>0</v>
      </c>
      <c r="Z36" s="94">
        <f t="shared" si="9"/>
        <v>0</v>
      </c>
      <c r="AD36" s="55"/>
      <c r="AE36" s="55"/>
      <c r="AH36" s="53" t="s">
        <v>123</v>
      </c>
      <c r="AI36" s="120" t="str">
        <f>IF(homerun_It1&gt;=(In/Homerun_Cg),AJ39,AJ40)</f>
        <v>ü</v>
      </c>
      <c r="AJ36" s="120"/>
      <c r="AK36" s="120"/>
      <c r="BE36" s="102"/>
      <c r="BF36" s="103"/>
      <c r="BG36" s="102"/>
      <c r="BH36" s="102"/>
      <c r="BI36" s="102"/>
      <c r="BJ36" s="102"/>
      <c r="BK36" s="102"/>
      <c r="BL36" s="104"/>
      <c r="BM36" s="102"/>
      <c r="BN36" s="102"/>
    </row>
    <row r="37" spans="2:66" ht="13.15" customHeight="1">
      <c r="G37" s="55" t="s">
        <v>108</v>
      </c>
      <c r="I37" s="7"/>
      <c r="J37" s="55">
        <f>ROUNDUP((Extender_ZinstPH+Extender_ZinstCPC),2)</f>
        <v>19.920000000000002</v>
      </c>
      <c r="K37" s="238" t="s">
        <v>106</v>
      </c>
      <c r="L37" s="244"/>
      <c r="M37" s="228"/>
      <c r="N37" s="229"/>
      <c r="O37" s="230"/>
      <c r="P37" s="231">
        <f t="shared" si="4"/>
        <v>0</v>
      </c>
      <c r="Q37" s="90">
        <f>IF(L37="FW",(ROUND((((extender_Vd*P37*N37)/1000)),4)),IF(L37="FL",(ROUND((((SD_Vd*P37*N37)/1000)),4)),0))</f>
        <v>0</v>
      </c>
      <c r="R37" s="91">
        <f t="shared" si="5"/>
        <v>0</v>
      </c>
      <c r="S37" s="87">
        <f t="shared" si="3"/>
        <v>0</v>
      </c>
      <c r="T37" s="92">
        <f t="shared" si="6"/>
        <v>0</v>
      </c>
      <c r="U37" s="93">
        <f t="shared" si="11"/>
        <v>0</v>
      </c>
      <c r="V37" s="57"/>
      <c r="X37" s="94">
        <f t="shared" si="7"/>
        <v>0</v>
      </c>
      <c r="Y37" s="94">
        <f t="shared" si="8"/>
        <v>0</v>
      </c>
      <c r="Z37" s="94">
        <f t="shared" si="9"/>
        <v>0</v>
      </c>
      <c r="AH37" s="53" t="s">
        <v>125</v>
      </c>
      <c r="AI37" s="120"/>
      <c r="AJ37" s="120" t="str">
        <f>IF(extender_It1&gt;=(In/extender_Cg),AJ39,AJ40)</f>
        <v>ü</v>
      </c>
      <c r="AK37" s="34"/>
      <c r="AP37" s="18" t="str">
        <f>D31</f>
        <v>Schneider</v>
      </c>
      <c r="AQ37" s="32"/>
      <c r="BE37" s="18" t="str">
        <f>D31</f>
        <v>Schneider</v>
      </c>
      <c r="BF37" s="32"/>
      <c r="BG37" s="102"/>
      <c r="BH37" s="102"/>
      <c r="BI37" s="102"/>
      <c r="BJ37" s="102"/>
      <c r="BK37" s="102"/>
      <c r="BL37" s="104"/>
      <c r="BM37" s="102"/>
      <c r="BN37" s="102"/>
    </row>
    <row r="38" spans="2:66" s="7" customFormat="1" ht="13.15" customHeight="1">
      <c r="G38" s="55" t="s">
        <v>138</v>
      </c>
      <c r="H38" s="55"/>
      <c r="I38" s="57"/>
      <c r="J38" s="110">
        <f>AQ59</f>
        <v>709</v>
      </c>
      <c r="K38" s="237" t="s">
        <v>56</v>
      </c>
      <c r="L38" s="244"/>
      <c r="M38" s="228"/>
      <c r="N38" s="229"/>
      <c r="O38" s="230"/>
      <c r="P38" s="231">
        <f t="shared" si="4"/>
        <v>0</v>
      </c>
      <c r="Q38" s="90">
        <f>IF(L38="FW",(ROUND((((extender_Vd*P38*N38)/1000)),4)),IF(L38="FL",(ROUND((((SD_Vd*P38*N38)/1000)),4)),0))</f>
        <v>0</v>
      </c>
      <c r="R38" s="91">
        <f t="shared" si="5"/>
        <v>0</v>
      </c>
      <c r="S38" s="87">
        <f t="shared" si="3"/>
        <v>0</v>
      </c>
      <c r="T38" s="92">
        <f t="shared" si="6"/>
        <v>0</v>
      </c>
      <c r="U38" s="93">
        <f t="shared" si="11"/>
        <v>0</v>
      </c>
      <c r="V38" s="57"/>
      <c r="W38" s="55"/>
      <c r="X38" s="94">
        <f t="shared" si="7"/>
        <v>0</v>
      </c>
      <c r="Y38" s="94">
        <f t="shared" si="8"/>
        <v>0</v>
      </c>
      <c r="Z38" s="94">
        <f t="shared" si="9"/>
        <v>0</v>
      </c>
      <c r="AF38" s="11"/>
      <c r="AG38" s="11"/>
      <c r="AH38" s="53" t="s">
        <v>126</v>
      </c>
      <c r="AI38" s="9"/>
      <c r="AJ38" s="9"/>
      <c r="AK38" s="120" t="str">
        <f>IF(SD_It1&gt;=(In/SD_Cg),AK39,AK40)</f>
        <v>ü</v>
      </c>
      <c r="AM38" s="102"/>
      <c r="AN38" s="102"/>
      <c r="AO38" s="102"/>
      <c r="AP38" s="102"/>
      <c r="AQ38" s="103"/>
      <c r="AR38" s="102"/>
      <c r="AS38" s="102"/>
      <c r="AT38" s="102"/>
      <c r="AU38" s="102"/>
      <c r="AV38" s="102"/>
      <c r="AW38" s="104"/>
      <c r="AX38" s="102"/>
      <c r="AY38" s="102"/>
      <c r="AZ38" s="105"/>
    </row>
    <row r="39" spans="2:66" ht="13.15" customHeight="1">
      <c r="B39" s="314" t="str">
        <f>IF(J7=0,"This calculation is un-checked",0)</f>
        <v>This calculation is un-checked</v>
      </c>
      <c r="C39" s="315"/>
      <c r="D39" s="315"/>
      <c r="G39" s="55" t="s">
        <v>140</v>
      </c>
      <c r="I39" s="57"/>
      <c r="J39" s="110">
        <f>AQ60</f>
        <v>308.0368721021614</v>
      </c>
      <c r="K39" s="237" t="s">
        <v>56</v>
      </c>
      <c r="L39" s="244"/>
      <c r="M39" s="228"/>
      <c r="N39" s="229"/>
      <c r="O39" s="230"/>
      <c r="P39" s="231">
        <f t="shared" si="4"/>
        <v>0</v>
      </c>
      <c r="Q39" s="90">
        <f>IF(L39="FW",(ROUND((((extender_Vd*P39*N39)/1000)),4)),IF(L39="FL",(ROUND((((SD_Vd*P39*N39)/1000)),4)),0))</f>
        <v>0</v>
      </c>
      <c r="R39" s="91">
        <f t="shared" si="5"/>
        <v>0</v>
      </c>
      <c r="S39" s="87">
        <f t="shared" si="3"/>
        <v>0</v>
      </c>
      <c r="T39" s="92">
        <f t="shared" si="6"/>
        <v>0</v>
      </c>
      <c r="U39" s="93">
        <f t="shared" si="11"/>
        <v>0</v>
      </c>
      <c r="V39" s="57"/>
      <c r="X39" s="94">
        <f t="shared" si="7"/>
        <v>0</v>
      </c>
      <c r="Y39" s="94">
        <f t="shared" si="8"/>
        <v>0</v>
      </c>
      <c r="Z39" s="94">
        <f t="shared" si="9"/>
        <v>0</v>
      </c>
      <c r="AH39" s="53" t="s">
        <v>128</v>
      </c>
      <c r="AI39" s="120" t="str">
        <f ca="1">IF((ROUNDUP((100/nominal_V*D60),2))&lt;=Max_VD,AJ39,AJ40)</f>
        <v>ü</v>
      </c>
      <c r="AJ39" s="120" t="s">
        <v>129</v>
      </c>
      <c r="AK39" s="120" t="s">
        <v>129</v>
      </c>
      <c r="BA39" s="55"/>
      <c r="BB39" s="55"/>
    </row>
    <row r="40" spans="2:66" ht="13.15" customHeight="1">
      <c r="B40" s="315"/>
      <c r="C40" s="315"/>
      <c r="D40" s="315"/>
      <c r="G40" s="55" t="s">
        <v>143</v>
      </c>
      <c r="I40" s="57"/>
      <c r="J40" s="110">
        <f>AS76</f>
        <v>2000</v>
      </c>
      <c r="K40" s="237"/>
      <c r="L40" s="244"/>
      <c r="M40" s="228"/>
      <c r="N40" s="229"/>
      <c r="O40" s="230"/>
      <c r="P40" s="231">
        <f t="shared" si="4"/>
        <v>0</v>
      </c>
      <c r="Q40" s="90">
        <f>IF(L40="FW",(ROUND((((extender_Vd*P40*N40)/1000)),4)),IF(L40="FL",(ROUND((((SD_Vd*P40*N40)/1000)),4)),0))</f>
        <v>0</v>
      </c>
      <c r="R40" s="91">
        <f t="shared" si="5"/>
        <v>0</v>
      </c>
      <c r="S40" s="87">
        <f t="shared" si="3"/>
        <v>0</v>
      </c>
      <c r="T40" s="92">
        <f t="shared" si="6"/>
        <v>0</v>
      </c>
      <c r="U40" s="93">
        <f t="shared" si="11"/>
        <v>0</v>
      </c>
      <c r="V40" s="57"/>
      <c r="X40" s="94">
        <f t="shared" si="7"/>
        <v>0</v>
      </c>
      <c r="Y40" s="94">
        <f t="shared" si="8"/>
        <v>0</v>
      </c>
      <c r="Z40" s="94">
        <f t="shared" si="9"/>
        <v>0</v>
      </c>
      <c r="AH40" s="53" t="s">
        <v>131</v>
      </c>
      <c r="AI40" s="120" t="str">
        <f>IF(D58&lt;=D32,AJ39,AJ40)</f>
        <v>ü</v>
      </c>
      <c r="AJ40" s="120" t="s">
        <v>132</v>
      </c>
      <c r="AK40" s="120" t="s">
        <v>132</v>
      </c>
      <c r="AM40" s="121"/>
      <c r="AN40" s="121"/>
      <c r="AO40" s="121"/>
      <c r="AP40" s="121"/>
      <c r="AQ40" s="32" t="s">
        <v>133</v>
      </c>
      <c r="AR40" s="121"/>
      <c r="AS40" s="32" t="s">
        <v>134</v>
      </c>
      <c r="AT40" s="121"/>
      <c r="AU40" s="121"/>
      <c r="AV40" s="121"/>
      <c r="AW40" s="122"/>
      <c r="BA40" s="55"/>
      <c r="BB40" s="55"/>
    </row>
    <row r="41" spans="2:66" ht="13.15" customHeight="1">
      <c r="B41" s="315"/>
      <c r="C41" s="315"/>
      <c r="D41" s="315"/>
      <c r="G41" s="55" t="s">
        <v>145</v>
      </c>
      <c r="H41" s="7"/>
      <c r="I41" s="57"/>
      <c r="J41" s="110">
        <f>AU76</f>
        <v>500</v>
      </c>
      <c r="K41" s="237"/>
      <c r="L41" s="244"/>
      <c r="M41" s="228"/>
      <c r="N41" s="229"/>
      <c r="O41" s="230"/>
      <c r="P41" s="231">
        <f t="shared" si="4"/>
        <v>0</v>
      </c>
      <c r="Q41" s="90">
        <f>IF(L41="FW",(ROUND((((extender_Vd*P41*N41)/1000)),4)),IF(L41="FL",(ROUND((((SD_Vd*P41*N41)/1000)),4)),0))</f>
        <v>0</v>
      </c>
      <c r="R41" s="91">
        <f t="shared" si="5"/>
        <v>0</v>
      </c>
      <c r="S41" s="87">
        <f t="shared" si="3"/>
        <v>0</v>
      </c>
      <c r="T41" s="92">
        <f t="shared" si="6"/>
        <v>0</v>
      </c>
      <c r="U41" s="93">
        <f t="shared" si="11"/>
        <v>0</v>
      </c>
      <c r="V41" s="57"/>
      <c r="X41" s="94">
        <f t="shared" si="7"/>
        <v>0</v>
      </c>
      <c r="Y41" s="94">
        <f t="shared" si="8"/>
        <v>0</v>
      </c>
      <c r="Z41" s="94">
        <f t="shared" si="9"/>
        <v>0</v>
      </c>
      <c r="AD41" s="60" t="s">
        <v>201</v>
      </c>
      <c r="AH41" s="53" t="s">
        <v>136</v>
      </c>
      <c r="AI41" s="120" t="str">
        <f>IF(J25&gt;J24,AJ39,AJ40)</f>
        <v>ü</v>
      </c>
      <c r="AM41" s="121"/>
      <c r="AN41" s="121"/>
      <c r="AO41" s="121"/>
      <c r="AP41" s="121"/>
      <c r="AQ41" s="32" t="s">
        <v>73</v>
      </c>
      <c r="AR41" s="32" t="s">
        <v>137</v>
      </c>
      <c r="AS41" s="32" t="s">
        <v>73</v>
      </c>
      <c r="AT41" s="32" t="s">
        <v>137</v>
      </c>
      <c r="AU41" s="32"/>
      <c r="AV41" s="121"/>
      <c r="AW41" s="122"/>
      <c r="BA41" s="55"/>
      <c r="BB41" s="55"/>
    </row>
    <row r="42" spans="2:66" ht="13.15" customHeight="1">
      <c r="B42" s="315"/>
      <c r="C42" s="315"/>
      <c r="D42" s="315"/>
      <c r="G42" s="55" t="s">
        <v>111</v>
      </c>
      <c r="I42" s="57"/>
      <c r="J42" s="110">
        <f>143^2*extender_csa^2</f>
        <v>127806.25</v>
      </c>
      <c r="K42" s="237"/>
      <c r="L42" s="244"/>
      <c r="M42" s="228"/>
      <c r="N42" s="229"/>
      <c r="O42" s="230"/>
      <c r="P42" s="231">
        <f t="shared" si="4"/>
        <v>0</v>
      </c>
      <c r="Q42" s="90">
        <f>IF(L42="FW",(ROUND((((extender_Vd*P42*N42)/1000)),4)),IF(L42="FL",(ROUND((((SD_Vd*P42*N42)/1000)),4)),0))</f>
        <v>0</v>
      </c>
      <c r="R42" s="91">
        <f t="shared" si="5"/>
        <v>0</v>
      </c>
      <c r="S42" s="87">
        <f t="shared" si="3"/>
        <v>0</v>
      </c>
      <c r="T42" s="92">
        <f t="shared" si="6"/>
        <v>0</v>
      </c>
      <c r="U42" s="93">
        <f t="shared" si="11"/>
        <v>0</v>
      </c>
      <c r="V42" s="57"/>
      <c r="X42" s="94">
        <f t="shared" si="7"/>
        <v>0</v>
      </c>
      <c r="Y42" s="94">
        <f t="shared" si="8"/>
        <v>0</v>
      </c>
      <c r="Z42" s="94">
        <f t="shared" si="9"/>
        <v>0</v>
      </c>
      <c r="AD42" s="60" t="s">
        <v>192</v>
      </c>
      <c r="AH42" s="53" t="s">
        <v>139</v>
      </c>
      <c r="AI42" s="120" t="str">
        <f>IF(J42&gt;J40,AJ39,AJ40)</f>
        <v>ü</v>
      </c>
      <c r="AM42" s="121"/>
      <c r="AN42" s="121"/>
      <c r="AO42" s="121"/>
      <c r="AP42" s="121"/>
      <c r="AQ42" s="32"/>
      <c r="AR42" s="32"/>
      <c r="AS42" s="32"/>
      <c r="AT42" s="32"/>
      <c r="AU42" s="32"/>
      <c r="AV42" s="121"/>
      <c r="AW42" s="122"/>
      <c r="BA42" s="55"/>
      <c r="BB42" s="55"/>
    </row>
    <row r="43" spans="2:66" ht="13.15" customHeight="1">
      <c r="B43" s="315"/>
      <c r="C43" s="315"/>
      <c r="D43" s="315"/>
      <c r="G43" s="54" t="s">
        <v>146</v>
      </c>
      <c r="I43" s="57"/>
      <c r="J43" s="113" t="str">
        <f>AI42</f>
        <v>ü</v>
      </c>
      <c r="K43" s="237"/>
      <c r="L43" s="244"/>
      <c r="M43" s="228"/>
      <c r="N43" s="229"/>
      <c r="O43" s="230"/>
      <c r="P43" s="231">
        <f t="shared" si="4"/>
        <v>0</v>
      </c>
      <c r="Q43" s="90">
        <f>IF(L43="FW",(ROUND((((extender_Vd*P43*N43)/1000)),4)),IF(L43="FL",(ROUND((((SD_Vd*P43*N43)/1000)),4)),0))</f>
        <v>0</v>
      </c>
      <c r="R43" s="91">
        <f t="shared" si="5"/>
        <v>0</v>
      </c>
      <c r="S43" s="87">
        <f t="shared" si="3"/>
        <v>0</v>
      </c>
      <c r="T43" s="92">
        <f t="shared" si="6"/>
        <v>0</v>
      </c>
      <c r="U43" s="93">
        <f t="shared" si="11"/>
        <v>0</v>
      </c>
      <c r="V43" s="57"/>
      <c r="X43" s="94">
        <f t="shared" si="7"/>
        <v>0</v>
      </c>
      <c r="Y43" s="94">
        <f t="shared" si="8"/>
        <v>0</v>
      </c>
      <c r="Z43" s="94">
        <f t="shared" si="9"/>
        <v>0</v>
      </c>
      <c r="AH43" s="53" t="s">
        <v>142</v>
      </c>
      <c r="AI43" s="120" t="str">
        <f>IF(J42&gt;J41,AJ39,AJ40)</f>
        <v>ü</v>
      </c>
      <c r="AL43" s="55"/>
      <c r="AM43" s="121"/>
      <c r="AN43" s="121"/>
      <c r="AO43" s="121"/>
      <c r="AP43" s="121">
        <v>1</v>
      </c>
      <c r="AQ43" s="123">
        <v>100</v>
      </c>
      <c r="AR43" s="123">
        <v>70</v>
      </c>
      <c r="AS43" s="123">
        <v>100</v>
      </c>
      <c r="AT43" s="123">
        <v>70</v>
      </c>
      <c r="AU43" s="124"/>
      <c r="AV43" s="121"/>
      <c r="AW43" s="122"/>
      <c r="BA43" s="55"/>
      <c r="BB43" s="55"/>
    </row>
    <row r="44" spans="2:66" ht="13.15" customHeight="1">
      <c r="B44" s="315"/>
      <c r="C44" s="315"/>
      <c r="D44" s="315"/>
      <c r="G44" s="54" t="s">
        <v>147</v>
      </c>
      <c r="I44" s="57"/>
      <c r="J44" s="113" t="str">
        <f>AI43</f>
        <v>ü</v>
      </c>
      <c r="K44" s="237"/>
      <c r="L44" s="244"/>
      <c r="M44" s="228"/>
      <c r="N44" s="229"/>
      <c r="O44" s="230"/>
      <c r="P44" s="231">
        <f t="shared" si="4"/>
        <v>0</v>
      </c>
      <c r="Q44" s="90">
        <f>IF(L44="FW",(ROUND((((extender_Vd*P44*N44)/1000)),4)),IF(L44="FL",(ROUND((((SD_Vd*P44*N44)/1000)),4)),0))</f>
        <v>0</v>
      </c>
      <c r="R44" s="91">
        <f t="shared" si="5"/>
        <v>0</v>
      </c>
      <c r="S44" s="87">
        <f t="shared" si="3"/>
        <v>0</v>
      </c>
      <c r="T44" s="92">
        <f t="shared" si="6"/>
        <v>0</v>
      </c>
      <c r="U44" s="93">
        <f t="shared" si="11"/>
        <v>0</v>
      </c>
      <c r="V44" s="57"/>
      <c r="X44" s="94">
        <f t="shared" si="7"/>
        <v>0</v>
      </c>
      <c r="Y44" s="94">
        <f t="shared" si="8"/>
        <v>0</v>
      </c>
      <c r="Z44" s="94">
        <f t="shared" si="9"/>
        <v>0</v>
      </c>
      <c r="AC44" s="41"/>
      <c r="AG44" s="41"/>
      <c r="AH44" s="53" t="s">
        <v>144</v>
      </c>
      <c r="AI44" s="120" t="str">
        <f>IF(J58&gt;J57,AJ39,AJ40)</f>
        <v>ü</v>
      </c>
      <c r="AL44" s="55"/>
      <c r="AM44" s="121"/>
      <c r="AN44" s="121"/>
      <c r="AO44" s="121"/>
      <c r="AP44" s="121">
        <v>2</v>
      </c>
      <c r="AQ44" s="123">
        <v>200</v>
      </c>
      <c r="AR44" s="123">
        <v>300</v>
      </c>
      <c r="AS44" s="123">
        <v>200</v>
      </c>
      <c r="AT44" s="123">
        <v>300</v>
      </c>
      <c r="AU44" s="124"/>
      <c r="AV44" s="121"/>
      <c r="AW44" s="122"/>
      <c r="BA44" s="55"/>
      <c r="BB44" s="55"/>
    </row>
    <row r="45" spans="2:66" ht="13.15" customHeight="1">
      <c r="F45" s="96"/>
      <c r="K45" s="240"/>
      <c r="L45" s="245"/>
      <c r="M45" s="228"/>
      <c r="N45" s="229"/>
      <c r="O45" s="230"/>
      <c r="P45" s="232">
        <f t="shared" si="4"/>
        <v>0</v>
      </c>
      <c r="Q45" s="114">
        <f>IF(L45="FW",(ROUND((((extender_Vd*P45*N45)/1000)),4)),IF(L45="FL",(ROUND((((SD_Vd*P45*N45)/1000)),4)),0))</f>
        <v>0</v>
      </c>
      <c r="R45" s="114">
        <f t="shared" si="5"/>
        <v>0</v>
      </c>
      <c r="S45" s="77">
        <f t="shared" si="3"/>
        <v>0</v>
      </c>
      <c r="T45" s="82">
        <f t="shared" si="6"/>
        <v>0</v>
      </c>
      <c r="U45" s="115">
        <f t="shared" si="11"/>
        <v>0</v>
      </c>
      <c r="V45" s="57"/>
      <c r="X45" s="116">
        <f t="shared" si="7"/>
        <v>0</v>
      </c>
      <c r="Y45" s="116">
        <f t="shared" si="8"/>
        <v>0</v>
      </c>
      <c r="Z45" s="116">
        <f t="shared" si="9"/>
        <v>0</v>
      </c>
      <c r="AC45" s="41"/>
      <c r="AG45" s="41"/>
      <c r="AH45" s="125"/>
      <c r="AI45" s="41"/>
      <c r="AJ45" s="55"/>
      <c r="AK45" s="55"/>
      <c r="AL45" s="55"/>
      <c r="AM45" s="121"/>
      <c r="AN45" s="121"/>
      <c r="AO45" s="121"/>
      <c r="AP45" s="121">
        <v>3</v>
      </c>
      <c r="AQ45" s="123">
        <v>300</v>
      </c>
      <c r="AR45" s="123">
        <v>500</v>
      </c>
      <c r="AS45" s="123">
        <v>300</v>
      </c>
      <c r="AT45" s="123">
        <v>500</v>
      </c>
      <c r="AU45" s="124"/>
      <c r="AV45" s="121"/>
      <c r="AW45" s="122"/>
      <c r="BA45" s="55"/>
      <c r="BB45" s="55"/>
    </row>
    <row r="46" spans="2:66" ht="13.15" customHeight="1">
      <c r="K46" s="240"/>
      <c r="L46" s="233"/>
      <c r="M46" s="234"/>
      <c r="N46" s="235"/>
      <c r="O46" s="236"/>
      <c r="P46" s="57"/>
      <c r="Q46" s="57"/>
      <c r="S46" s="56"/>
      <c r="V46" s="57"/>
      <c r="X46" s="106">
        <f>SUM(X18:X45)</f>
        <v>0.84</v>
      </c>
      <c r="Y46" s="106">
        <f>SUM(Y18:Y45)</f>
        <v>308.0368721021614</v>
      </c>
      <c r="Z46" s="106">
        <f>SUM(Z18:Z45)</f>
        <v>0.86</v>
      </c>
      <c r="AC46" s="41"/>
      <c r="AG46" s="41"/>
      <c r="AH46" s="53" t="s">
        <v>188</v>
      </c>
      <c r="AI46" s="257">
        <f ca="1">IF(ISNUMBER(SEARCH("L1",C12)),VD_L1,IF(ISNUMBER(SEARCH("L2",C12)),VD_L2,IF(ISNUMBER(SEARCH("L3",C12)),VD_L3,"")))</f>
        <v>2.1499999999999998E-2</v>
      </c>
      <c r="AJ46" s="55"/>
      <c r="AK46" s="55"/>
      <c r="AL46" s="55"/>
      <c r="AM46" s="121"/>
      <c r="AN46" s="121"/>
      <c r="AO46" s="121"/>
      <c r="AP46" s="121">
        <v>4</v>
      </c>
      <c r="AQ46" s="123">
        <v>400</v>
      </c>
      <c r="AR46" s="123">
        <v>980</v>
      </c>
      <c r="AS46" s="123">
        <v>400</v>
      </c>
      <c r="AT46" s="123">
        <v>980</v>
      </c>
      <c r="AU46" s="124"/>
      <c r="AV46" s="121"/>
      <c r="AW46" s="122"/>
      <c r="BA46" s="55"/>
      <c r="BB46" s="55"/>
    </row>
    <row r="47" spans="2:66" ht="13.15" customHeight="1">
      <c r="G47" s="96" t="s">
        <v>255</v>
      </c>
      <c r="I47" s="57"/>
      <c r="J47" s="96"/>
      <c r="K47" s="242"/>
      <c r="L47" s="30" t="s">
        <v>116</v>
      </c>
      <c r="M47" s="57"/>
      <c r="P47" s="57"/>
      <c r="Q47" s="56"/>
      <c r="R47" s="30" t="s">
        <v>117</v>
      </c>
      <c r="S47" s="131"/>
      <c r="T47" s="128"/>
      <c r="U47" s="117" t="s">
        <v>118</v>
      </c>
      <c r="V47" s="57"/>
      <c r="AH47" s="53" t="s">
        <v>188</v>
      </c>
      <c r="AI47" s="258">
        <f ca="1">Source_Nominal_V*(AI46)</f>
        <v>4.9449999999999994</v>
      </c>
      <c r="AJ47" s="55"/>
      <c r="AK47" s="55"/>
      <c r="AM47" s="121"/>
      <c r="AN47" s="121"/>
      <c r="AO47" s="121"/>
      <c r="AP47" s="121">
        <v>5</v>
      </c>
      <c r="AQ47" s="123">
        <v>500</v>
      </c>
      <c r="AR47" s="123">
        <v>1200</v>
      </c>
      <c r="AS47" s="123">
        <v>500</v>
      </c>
      <c r="AT47" s="123">
        <v>1200</v>
      </c>
      <c r="AU47" s="124"/>
      <c r="AV47" s="121"/>
      <c r="AW47" s="122"/>
    </row>
    <row r="48" spans="2:66" ht="13.15" customHeight="1">
      <c r="G48" s="69" t="s">
        <v>119</v>
      </c>
      <c r="I48" s="57"/>
      <c r="J48" s="153">
        <v>1</v>
      </c>
      <c r="K48" s="56"/>
      <c r="L48" s="55" t="s">
        <v>257</v>
      </c>
      <c r="M48" s="57"/>
      <c r="P48" s="57"/>
      <c r="Q48" s="56"/>
      <c r="R48" s="55" t="s">
        <v>120</v>
      </c>
      <c r="U48" s="133" t="str">
        <f>AI36</f>
        <v>ü</v>
      </c>
      <c r="V48" s="57"/>
      <c r="AH48" s="53" t="s">
        <v>241</v>
      </c>
      <c r="AI48" s="258">
        <f ca="1">IF(ISNUMBER(SEARCH("L1",C12)),VDV_L1,IF(ISNUMBER(SEARCH("L2",C12)),VDV_L2,IF(ISNUMBER(SEARCH("L3",C12)),VDV_L3,"")))</f>
        <v>229.50550000000001</v>
      </c>
      <c r="AJ48" s="55"/>
      <c r="AK48" s="55"/>
      <c r="AM48" s="121"/>
      <c r="AN48" s="121"/>
      <c r="AO48" s="121"/>
      <c r="AP48" s="121">
        <v>6</v>
      </c>
      <c r="AQ48" s="123">
        <v>600</v>
      </c>
      <c r="AR48" s="123">
        <v>1500</v>
      </c>
      <c r="AS48" s="123">
        <v>600</v>
      </c>
      <c r="AT48" s="123">
        <v>1500</v>
      </c>
      <c r="AU48" s="124"/>
      <c r="AV48" s="121"/>
      <c r="AW48" s="122"/>
    </row>
    <row r="49" spans="1:49" ht="13.15" customHeight="1">
      <c r="G49" s="55" t="s">
        <v>96</v>
      </c>
      <c r="I49" s="57"/>
      <c r="J49" s="154">
        <f>IF(Service="Lighting",1.5,IF(Service="Power",2.5,"Error"))</f>
        <v>1.5</v>
      </c>
      <c r="K49" s="56" t="s">
        <v>97</v>
      </c>
      <c r="L49" s="54" t="s">
        <v>258</v>
      </c>
      <c r="M49" s="57"/>
      <c r="P49" s="57"/>
      <c r="Q49" s="56"/>
      <c r="R49" s="55" t="s">
        <v>122</v>
      </c>
      <c r="U49" s="133" t="str">
        <f>AJ37</f>
        <v>ü</v>
      </c>
      <c r="V49" s="57"/>
      <c r="AE49" s="55"/>
      <c r="AF49" s="55"/>
      <c r="AG49" s="55"/>
      <c r="AH49" s="55"/>
      <c r="AM49" s="121"/>
      <c r="AN49" s="121"/>
      <c r="AO49" s="121"/>
      <c r="AP49" s="121">
        <v>7</v>
      </c>
      <c r="AQ49" s="123">
        <v>700</v>
      </c>
      <c r="AR49" s="123">
        <v>2000</v>
      </c>
      <c r="AS49" s="123">
        <v>700</v>
      </c>
      <c r="AT49" s="123">
        <v>2000</v>
      </c>
      <c r="AU49" s="124"/>
      <c r="AV49" s="121"/>
      <c r="AW49" s="122"/>
    </row>
    <row r="50" spans="1:49" ht="13.15" customHeight="1">
      <c r="G50" s="55" t="s">
        <v>99</v>
      </c>
      <c r="I50" s="57"/>
      <c r="J50" s="155" t="s">
        <v>148</v>
      </c>
      <c r="K50" s="56"/>
      <c r="L50" s="54"/>
      <c r="M50" s="22"/>
      <c r="N50" s="22"/>
      <c r="O50" s="22"/>
      <c r="P50" s="22"/>
      <c r="Q50" s="56"/>
      <c r="R50" s="55" t="s">
        <v>124</v>
      </c>
      <c r="U50" s="133" t="str">
        <f>AK38</f>
        <v>ü</v>
      </c>
      <c r="V50" s="57"/>
      <c r="AE50" s="55"/>
      <c r="AF50" s="55"/>
      <c r="AG50" s="55"/>
      <c r="AH50" s="55"/>
      <c r="AM50" s="121"/>
      <c r="AN50" s="121"/>
      <c r="AO50" s="121"/>
      <c r="AP50" s="121">
        <v>8</v>
      </c>
      <c r="AQ50" s="123">
        <v>800</v>
      </c>
      <c r="AR50" s="123">
        <v>2100</v>
      </c>
      <c r="AS50" s="123">
        <v>800</v>
      </c>
      <c r="AT50" s="123">
        <v>2100</v>
      </c>
      <c r="AU50" s="124"/>
      <c r="AV50" s="121"/>
      <c r="AW50" s="122"/>
    </row>
    <row r="51" spans="1:49" ht="13.15" customHeight="1">
      <c r="G51" s="55" t="s">
        <v>206</v>
      </c>
      <c r="J51" s="55">
        <f>SD_tp</f>
        <v>70</v>
      </c>
      <c r="K51" s="56" t="s">
        <v>261</v>
      </c>
      <c r="L51" s="134"/>
      <c r="M51" s="57"/>
      <c r="P51" s="57"/>
      <c r="Q51" s="56"/>
      <c r="R51" s="55" t="str">
        <f ca="1">"Voltage Drop less than "&amp;Max_VD&amp;"%:"</f>
        <v>Voltage Drop less than 1.85%:</v>
      </c>
      <c r="S51" s="57"/>
      <c r="U51" s="133" t="str">
        <f ca="1">AI39</f>
        <v>ü</v>
      </c>
      <c r="V51" s="57"/>
      <c r="AE51" s="55"/>
      <c r="AF51" s="55"/>
      <c r="AG51" s="55"/>
      <c r="AH51" s="55"/>
      <c r="AM51" s="121"/>
      <c r="AN51" s="121"/>
      <c r="AO51" s="121"/>
      <c r="AP51" s="121">
        <v>9</v>
      </c>
      <c r="AQ51" s="123">
        <v>900</v>
      </c>
      <c r="AR51" s="123">
        <v>2500</v>
      </c>
      <c r="AS51" s="123">
        <v>900</v>
      </c>
      <c r="AT51" s="123">
        <v>2500</v>
      </c>
      <c r="AU51" s="124"/>
      <c r="AV51" s="121"/>
      <c r="AW51" s="122"/>
    </row>
    <row r="52" spans="1:49" ht="13.15" customHeight="1">
      <c r="A52" s="59"/>
      <c r="C52" s="57"/>
      <c r="D52" s="57"/>
      <c r="G52" s="55" t="s">
        <v>101</v>
      </c>
      <c r="I52" s="57"/>
      <c r="J52" s="55">
        <f>SD_It1</f>
        <v>16</v>
      </c>
      <c r="K52" s="56" t="s">
        <v>56</v>
      </c>
      <c r="L52" s="134"/>
      <c r="M52" s="57"/>
      <c r="P52" s="57"/>
      <c r="Q52" s="56"/>
      <c r="R52" s="55" t="s">
        <v>127</v>
      </c>
      <c r="S52" s="57"/>
      <c r="U52" s="133" t="str">
        <f>AI40</f>
        <v>ü</v>
      </c>
      <c r="V52" s="57"/>
      <c r="AE52" s="55"/>
      <c r="AF52" s="55"/>
      <c r="AG52" s="55"/>
      <c r="AH52" s="55"/>
      <c r="AM52" s="121"/>
      <c r="AN52" s="121"/>
      <c r="AO52" s="121"/>
      <c r="AP52" s="121">
        <v>10</v>
      </c>
      <c r="AQ52" s="123">
        <v>1000</v>
      </c>
      <c r="AR52" s="123">
        <v>2800</v>
      </c>
      <c r="AS52" s="123">
        <v>1000</v>
      </c>
      <c r="AT52" s="123">
        <v>2800</v>
      </c>
      <c r="AU52" s="124"/>
      <c r="AV52" s="121"/>
      <c r="AW52" s="122"/>
    </row>
    <row r="53" spans="1:49" ht="13.15" customHeight="1">
      <c r="A53" s="59"/>
      <c r="G53" s="55" t="s">
        <v>103</v>
      </c>
      <c r="I53" s="57"/>
      <c r="J53" s="55">
        <f>SD_Vd1</f>
        <v>32</v>
      </c>
      <c r="K53" s="56" t="s">
        <v>104</v>
      </c>
      <c r="L53" s="54"/>
      <c r="U53" s="133"/>
      <c r="V53" s="57"/>
      <c r="AE53" s="55"/>
      <c r="AF53" s="55"/>
      <c r="AG53" s="55"/>
      <c r="AH53" s="55"/>
      <c r="AM53" s="121"/>
      <c r="AN53" s="121"/>
      <c r="AO53" s="121"/>
      <c r="AP53" s="121">
        <v>11</v>
      </c>
      <c r="AQ53" s="123">
        <v>2000</v>
      </c>
      <c r="AR53" s="123">
        <v>6000</v>
      </c>
      <c r="AS53" s="123">
        <v>2000</v>
      </c>
      <c r="AT53" s="123">
        <v>6000</v>
      </c>
      <c r="AU53" s="121"/>
      <c r="AV53" s="121"/>
      <c r="AW53" s="122"/>
    </row>
    <row r="54" spans="1:49" ht="13.15" customHeight="1">
      <c r="G54" s="55" t="s">
        <v>105</v>
      </c>
      <c r="I54" s="57"/>
      <c r="J54" s="55">
        <f>SD_Z1</f>
        <v>13.3</v>
      </c>
      <c r="K54" s="72" t="s">
        <v>106</v>
      </c>
      <c r="L54" s="30"/>
      <c r="M54" s="131"/>
      <c r="N54" s="128"/>
      <c r="O54" s="128"/>
      <c r="P54" s="131"/>
      <c r="Q54" s="132"/>
      <c r="R54" s="128"/>
      <c r="S54" s="132"/>
      <c r="T54" s="128"/>
      <c r="U54" s="133"/>
      <c r="V54" s="57"/>
      <c r="AE54" s="55"/>
      <c r="AF54" s="55"/>
      <c r="AG54" s="55"/>
      <c r="AH54" s="55"/>
      <c r="AM54" s="121"/>
      <c r="AN54" s="121"/>
      <c r="AO54" s="121"/>
      <c r="AP54" s="121">
        <v>12</v>
      </c>
      <c r="AQ54" s="123">
        <v>3000</v>
      </c>
      <c r="AR54" s="123">
        <v>8400</v>
      </c>
      <c r="AS54" s="123">
        <v>3000</v>
      </c>
      <c r="AT54" s="123">
        <v>8400</v>
      </c>
      <c r="AU54" s="121"/>
      <c r="AV54" s="121"/>
      <c r="AW54" s="122"/>
    </row>
    <row r="55" spans="1:49" ht="13.15" customHeight="1">
      <c r="B55" s="130" t="s">
        <v>42</v>
      </c>
      <c r="C55" s="57"/>
      <c r="D55" s="55"/>
      <c r="E55" s="56"/>
      <c r="G55" s="55" t="s">
        <v>108</v>
      </c>
      <c r="I55" s="57"/>
      <c r="J55" s="55">
        <f>ROUNDUP((SD_ZinstPH+SD_ZinstCPC),2)</f>
        <v>33.199999999999996</v>
      </c>
      <c r="K55" s="72" t="s">
        <v>106</v>
      </c>
      <c r="L55" s="30"/>
      <c r="M55" s="131"/>
      <c r="N55" s="128"/>
      <c r="O55" s="128"/>
      <c r="P55" s="131"/>
      <c r="Q55" s="132"/>
      <c r="R55" s="128"/>
      <c r="S55" s="132"/>
      <c r="T55" s="128"/>
      <c r="U55" s="128"/>
      <c r="V55" s="57"/>
      <c r="AE55" s="55"/>
      <c r="AF55" s="55"/>
      <c r="AG55" s="55"/>
      <c r="AH55" s="55"/>
      <c r="AM55" s="121"/>
      <c r="AN55" s="121"/>
      <c r="AO55" s="121"/>
      <c r="AP55" s="121">
        <v>13</v>
      </c>
      <c r="AQ55" s="123">
        <v>4000</v>
      </c>
      <c r="AR55" s="123">
        <v>10000</v>
      </c>
      <c r="AS55" s="123">
        <v>4000</v>
      </c>
      <c r="AT55" s="123">
        <v>10000</v>
      </c>
      <c r="AU55" s="121"/>
      <c r="AV55" s="121"/>
      <c r="AW55" s="122"/>
    </row>
    <row r="56" spans="1:49" ht="13.15" customHeight="1">
      <c r="B56" s="129" t="s">
        <v>47</v>
      </c>
      <c r="C56" s="57"/>
      <c r="D56" s="300">
        <f>P18</f>
        <v>4.24</v>
      </c>
      <c r="E56" s="286"/>
      <c r="G56" s="55" t="s">
        <v>64</v>
      </c>
      <c r="I56" s="57"/>
      <c r="J56" s="110">
        <f>AQ61</f>
        <v>308.0368721021614</v>
      </c>
      <c r="K56" s="56" t="s">
        <v>56</v>
      </c>
      <c r="L56" s="30" t="s">
        <v>130</v>
      </c>
      <c r="M56" s="131"/>
      <c r="N56" s="128"/>
      <c r="O56" s="128"/>
      <c r="P56" s="131"/>
      <c r="Q56" s="132"/>
      <c r="R56" s="128"/>
      <c r="S56" s="132"/>
      <c r="T56" s="128"/>
      <c r="U56" s="128"/>
      <c r="V56" s="57"/>
      <c r="AE56" s="55"/>
      <c r="AM56" s="121"/>
      <c r="AN56" s="121"/>
      <c r="AO56" s="121"/>
      <c r="AP56" s="121"/>
      <c r="AQ56" s="124"/>
      <c r="AR56" s="124"/>
      <c r="AS56" s="121"/>
      <c r="AT56" s="121"/>
      <c r="AU56" s="121"/>
      <c r="AV56" s="121"/>
      <c r="AW56" s="122"/>
    </row>
    <row r="57" spans="1:49" ht="13.15" customHeight="1" thickBot="1">
      <c r="B57" s="129" t="s">
        <v>53</v>
      </c>
      <c r="C57" s="57"/>
      <c r="D57" s="295">
        <f>SUM(N18:N37)</f>
        <v>46.2</v>
      </c>
      <c r="E57" s="286"/>
      <c r="F57" s="57"/>
      <c r="G57" s="55" t="s">
        <v>110</v>
      </c>
      <c r="I57" s="57"/>
      <c r="J57" s="110">
        <f>AU76</f>
        <v>500</v>
      </c>
      <c r="K57" s="56"/>
      <c r="L57" s="289" t="s">
        <v>135</v>
      </c>
      <c r="M57" s="296"/>
      <c r="N57" s="296"/>
      <c r="O57" s="296"/>
      <c r="P57" s="296"/>
      <c r="Q57" s="296"/>
      <c r="R57" s="296"/>
      <c r="S57" s="296"/>
      <c r="T57" s="296"/>
      <c r="U57" s="296"/>
      <c r="V57" s="57"/>
      <c r="AE57" s="55"/>
      <c r="AM57" s="121"/>
      <c r="AN57" s="121"/>
      <c r="AV57" s="121"/>
      <c r="AW57" s="122"/>
    </row>
    <row r="58" spans="1:49" ht="13.15" customHeight="1">
      <c r="B58" s="129" t="s">
        <v>57</v>
      </c>
      <c r="C58" s="57"/>
      <c r="D58" s="297">
        <f>X46</f>
        <v>0.84</v>
      </c>
      <c r="E58" s="298"/>
      <c r="G58" s="55" t="s">
        <v>111</v>
      </c>
      <c r="I58" s="57"/>
      <c r="J58" s="110">
        <f>143^2*SD_csa^2</f>
        <v>46010.25</v>
      </c>
      <c r="K58" s="56"/>
      <c r="L58" s="289" t="s">
        <v>182</v>
      </c>
      <c r="M58" s="290"/>
      <c r="N58" s="290"/>
      <c r="O58" s="290"/>
      <c r="P58" s="290"/>
      <c r="Q58" s="290"/>
      <c r="R58" s="290"/>
      <c r="S58" s="290"/>
      <c r="T58" s="290"/>
      <c r="U58" s="290"/>
      <c r="V58" s="57"/>
      <c r="AE58" s="55"/>
      <c r="AM58" s="135"/>
      <c r="AN58" s="136"/>
      <c r="AO58" s="136"/>
      <c r="AP58" s="137" t="s">
        <v>149</v>
      </c>
      <c r="AQ58" s="138">
        <f>U18</f>
        <v>709</v>
      </c>
      <c r="AR58" s="139"/>
      <c r="AS58" s="136"/>
      <c r="AT58" s="136"/>
      <c r="AU58" s="136"/>
      <c r="AV58" s="140"/>
      <c r="AW58" s="122"/>
    </row>
    <row r="59" spans="1:49" ht="13.15" customHeight="1">
      <c r="B59" s="129" t="s">
        <v>64</v>
      </c>
      <c r="C59" s="57"/>
      <c r="D59" s="299">
        <f>Y46</f>
        <v>308.0368721021614</v>
      </c>
      <c r="E59" s="286"/>
      <c r="G59" s="54" t="s">
        <v>113</v>
      </c>
      <c r="I59" s="57"/>
      <c r="J59" s="113" t="str">
        <f>Max_CPD2</f>
        <v>ü</v>
      </c>
      <c r="K59" s="56"/>
      <c r="L59" s="289" t="s">
        <v>141</v>
      </c>
      <c r="M59" s="290"/>
      <c r="N59" s="290"/>
      <c r="O59" s="290"/>
      <c r="P59" s="290"/>
      <c r="Q59" s="290"/>
      <c r="R59" s="290"/>
      <c r="S59" s="290"/>
      <c r="T59" s="290"/>
      <c r="U59" s="290"/>
      <c r="V59" s="57"/>
      <c r="AE59" s="55"/>
      <c r="AM59" s="141"/>
      <c r="AN59" s="142"/>
      <c r="AO59" s="142"/>
      <c r="AP59" s="143" t="s">
        <v>150</v>
      </c>
      <c r="AQ59" s="144">
        <f>U19</f>
        <v>709</v>
      </c>
      <c r="AR59" s="145"/>
      <c r="AS59" s="292" t="s">
        <v>159</v>
      </c>
      <c r="AT59" s="292"/>
      <c r="AU59" s="292"/>
      <c r="AV59" s="146"/>
      <c r="AW59" s="122"/>
    </row>
    <row r="60" spans="1:49" ht="13.15" customHeight="1">
      <c r="B60" s="129" t="s">
        <v>45</v>
      </c>
      <c r="C60" s="57"/>
      <c r="D60" s="293">
        <f>SUM(Q18:Q37)</f>
        <v>1.9672000000000001</v>
      </c>
      <c r="E60" s="286"/>
      <c r="L60" s="289" t="s">
        <v>183</v>
      </c>
      <c r="M60" s="290"/>
      <c r="N60" s="290"/>
      <c r="O60" s="290"/>
      <c r="P60" s="290"/>
      <c r="Q60" s="290"/>
      <c r="R60" s="290"/>
      <c r="S60" s="290"/>
      <c r="T60" s="290"/>
      <c r="U60" s="290"/>
      <c r="V60" s="57"/>
      <c r="AE60" s="55"/>
      <c r="AM60" s="141"/>
      <c r="AN60" s="142"/>
      <c r="AO60" s="142"/>
      <c r="AP60" s="143" t="s">
        <v>151</v>
      </c>
      <c r="AQ60" s="144">
        <f>Y46</f>
        <v>308.0368721021614</v>
      </c>
      <c r="AR60" s="145"/>
      <c r="AS60" s="142"/>
      <c r="AT60" s="142"/>
      <c r="AU60" s="142"/>
      <c r="AV60" s="146"/>
      <c r="AW60" s="122"/>
    </row>
    <row r="61" spans="1:49" ht="13.15" customHeight="1">
      <c r="B61" s="129" t="s">
        <v>58</v>
      </c>
      <c r="C61" s="57"/>
      <c r="D61" s="293">
        <f ca="1">V_Source-D60</f>
        <v>223.08780000000002</v>
      </c>
      <c r="E61" s="294"/>
      <c r="L61" s="289"/>
      <c r="M61" s="290"/>
      <c r="N61" s="290"/>
      <c r="O61" s="290"/>
      <c r="P61" s="290"/>
      <c r="Q61" s="290"/>
      <c r="R61" s="290"/>
      <c r="S61" s="290"/>
      <c r="T61" s="290"/>
      <c r="U61" s="290"/>
      <c r="V61" s="57"/>
      <c r="AE61" s="55"/>
      <c r="AM61" s="141"/>
      <c r="AN61" s="142"/>
      <c r="AO61" s="142"/>
      <c r="AP61" s="142" t="s">
        <v>152</v>
      </c>
      <c r="AQ61" s="144">
        <f>AQ60</f>
        <v>308.0368721021614</v>
      </c>
      <c r="AR61" s="145"/>
      <c r="AS61" s="142"/>
      <c r="AT61" s="142"/>
      <c r="AU61" s="142"/>
      <c r="AV61" s="146"/>
      <c r="AW61" s="122"/>
    </row>
    <row r="62" spans="1:49" ht="12.6" customHeight="1">
      <c r="AE62" s="55"/>
      <c r="AM62" s="141"/>
      <c r="AN62" s="142"/>
      <c r="AO62" s="142"/>
      <c r="AP62" s="142"/>
      <c r="AQ62" s="143" t="s">
        <v>153</v>
      </c>
      <c r="AR62" s="142"/>
      <c r="AS62" s="142" t="s">
        <v>154</v>
      </c>
      <c r="AT62" s="142"/>
      <c r="AU62" s="142" t="s">
        <v>155</v>
      </c>
      <c r="AV62" s="146"/>
      <c r="AW62" s="122"/>
    </row>
    <row r="63" spans="1:49" ht="12.6" customHeight="1">
      <c r="AE63" s="55"/>
      <c r="AK63" s="32"/>
      <c r="AM63" s="141"/>
      <c r="AN63" s="142"/>
      <c r="AO63" s="142"/>
      <c r="AP63" s="142">
        <v>13</v>
      </c>
      <c r="AQ63" s="143">
        <f>IF($AQ$58&gt;4000,AR55,0)</f>
        <v>0</v>
      </c>
      <c r="AR63" s="142"/>
      <c r="AS63" s="143">
        <f>IF($AQ$59&gt;4000,AT55,0)</f>
        <v>0</v>
      </c>
      <c r="AT63" s="142"/>
      <c r="AU63" s="143">
        <f>IF($AQ$60&gt;4000,AT55,0)</f>
        <v>0</v>
      </c>
      <c r="AV63" s="146"/>
      <c r="AW63" s="122"/>
    </row>
    <row r="64" spans="1:49" ht="12.6" customHeight="1">
      <c r="AE64" s="55"/>
      <c r="AK64" s="32"/>
      <c r="AM64" s="141"/>
      <c r="AN64" s="142"/>
      <c r="AO64" s="142"/>
      <c r="AP64" s="142">
        <v>12</v>
      </c>
      <c r="AQ64" s="143">
        <f>IF(AND($AQ$58&gt;=3000,$AQ$58&lt;4000),AR5:AR54,0)</f>
        <v>0</v>
      </c>
      <c r="AR64" s="142"/>
      <c r="AS64" s="143">
        <f>IF(AND($AQ$59&gt;=3000,$AQ$59&lt;4000),AT5:AT54,0)</f>
        <v>0</v>
      </c>
      <c r="AT64" s="142"/>
      <c r="AU64" s="143">
        <f>IF(AND($AQ$60&gt;=3000,$AQ$60&lt;4000),AT5:AT54,0)</f>
        <v>0</v>
      </c>
      <c r="AV64" s="146"/>
      <c r="AW64" s="122"/>
    </row>
    <row r="65" spans="31:49" ht="12.6" customHeight="1">
      <c r="AE65" s="55"/>
      <c r="AM65" s="141"/>
      <c r="AN65" s="142"/>
      <c r="AO65" s="142"/>
      <c r="AP65" s="142">
        <v>11</v>
      </c>
      <c r="AQ65" s="143">
        <f>IF(AND($AQ$58&gt;=2000,$AQ$58&lt;3000),AR53,0)</f>
        <v>0</v>
      </c>
      <c r="AR65" s="142"/>
      <c r="AS65" s="143">
        <f>IF(AND($AQ$59&gt;=2000,$AQ$59&lt;3000),AT53,0)</f>
        <v>0</v>
      </c>
      <c r="AT65" s="142"/>
      <c r="AU65" s="143">
        <f>IF(AND($AQ$60&gt;=2000,$AQ$60&lt;3000),AT53,0)</f>
        <v>0</v>
      </c>
      <c r="AV65" s="146"/>
      <c r="AW65" s="122"/>
    </row>
    <row r="66" spans="31:49" ht="12.6" customHeight="1">
      <c r="AE66" s="55"/>
      <c r="AM66" s="147"/>
      <c r="AN66" s="148"/>
      <c r="AO66" s="142"/>
      <c r="AP66" s="142">
        <v>10</v>
      </c>
      <c r="AQ66" s="143">
        <f>IF(AND($AQ$58&gt;=1000,$AQ$58&lt;2000),AR52,0)</f>
        <v>0</v>
      </c>
      <c r="AR66" s="142"/>
      <c r="AS66" s="143">
        <f>IF(AND($AQ$59&gt;=1000,$AQ$59&lt;2000),AT52,0)</f>
        <v>0</v>
      </c>
      <c r="AT66" s="142"/>
      <c r="AU66" s="143">
        <f>IF(AND($AQ$60&gt;=1000,$AQ$60&lt;2000),AT52,0)</f>
        <v>0</v>
      </c>
      <c r="AV66" s="146"/>
    </row>
    <row r="67" spans="31:49" ht="12.6" customHeight="1">
      <c r="AE67" s="55"/>
      <c r="AM67" s="147"/>
      <c r="AN67" s="148"/>
      <c r="AO67" s="148"/>
      <c r="AP67" s="142">
        <v>9</v>
      </c>
      <c r="AQ67" s="143">
        <f>IF(AND($AQ$58&gt;=900,$AQ$58&lt;1000),AR51,0)</f>
        <v>0</v>
      </c>
      <c r="AR67" s="142"/>
      <c r="AS67" s="143">
        <f>IF(AND($AQ$59&gt;=900,$AQ$59&lt;1000),AT51,0)</f>
        <v>0</v>
      </c>
      <c r="AT67" s="148"/>
      <c r="AU67" s="143">
        <f>IF(AND($AQ$60&gt;=900,$AQ$60&lt;1000),AT51,0)</f>
        <v>0</v>
      </c>
      <c r="AV67" s="146"/>
    </row>
    <row r="68" spans="31:49" ht="12.6" customHeight="1">
      <c r="AM68" s="147"/>
      <c r="AN68" s="148"/>
      <c r="AO68" s="148"/>
      <c r="AP68" s="142">
        <v>8</v>
      </c>
      <c r="AQ68" s="143">
        <f>IF(AND($AQ$58&gt;=800,$AQ$58&lt;900),AR50,0)</f>
        <v>0</v>
      </c>
      <c r="AR68" s="142"/>
      <c r="AS68" s="143">
        <f>IF(AND($AQ$59&gt;=800,$AQ$59&lt;900),AT50,0)</f>
        <v>0</v>
      </c>
      <c r="AT68" s="148"/>
      <c r="AU68" s="143">
        <f>IF(AND($AQ$60&gt;=800,$AQ$60&lt;900),AT50,0)</f>
        <v>0</v>
      </c>
      <c r="AV68" s="146"/>
    </row>
    <row r="69" spans="31:49" ht="12.6" customHeight="1">
      <c r="AM69" s="147"/>
      <c r="AN69" s="148"/>
      <c r="AO69" s="148"/>
      <c r="AP69" s="142">
        <v>7</v>
      </c>
      <c r="AQ69" s="143">
        <f>IF(AND($AQ$58&gt;=700,$AQ$58&lt;800),AR49,0)</f>
        <v>2000</v>
      </c>
      <c r="AR69" s="142"/>
      <c r="AS69" s="143">
        <f>IF(AND($AQ$59&gt;=700,$AQ$59&lt;800),AT49,0)</f>
        <v>2000</v>
      </c>
      <c r="AT69" s="148"/>
      <c r="AU69" s="143">
        <f>IF(AND($AQ$60&gt;=700,$AQ$60&lt;800),AT49,0)</f>
        <v>0</v>
      </c>
      <c r="AV69" s="146"/>
    </row>
    <row r="70" spans="31:49" ht="12.6" customHeight="1">
      <c r="AM70" s="147"/>
      <c r="AN70" s="148"/>
      <c r="AO70" s="148"/>
      <c r="AP70" s="142">
        <v>6</v>
      </c>
      <c r="AQ70" s="143">
        <f>IF(AND($AQ$58&gt;=600,$AQ$58&lt;700),AR48,0)</f>
        <v>0</v>
      </c>
      <c r="AR70" s="142"/>
      <c r="AS70" s="143">
        <f>IF(AND($AQ$59&gt;=600,$AQ$59&lt;700),AT48,0)</f>
        <v>0</v>
      </c>
      <c r="AT70" s="148"/>
      <c r="AU70" s="143">
        <f>IF(AND($AQ$60&gt;=600,$AQ$60&lt;700),AT48,0)</f>
        <v>0</v>
      </c>
      <c r="AV70" s="146"/>
    </row>
    <row r="71" spans="31:49" ht="12.6" customHeight="1">
      <c r="AM71" s="147"/>
      <c r="AN71" s="148"/>
      <c r="AO71" s="148"/>
      <c r="AP71" s="142">
        <v>5</v>
      </c>
      <c r="AQ71" s="143">
        <f>IF(AND($AQ$58&gt;=500,$AQ$58&lt;600),AR47,0)</f>
        <v>0</v>
      </c>
      <c r="AR71" s="142"/>
      <c r="AS71" s="143">
        <f>IF(AND($AQ$59&gt;=500,$AQ$59&lt;600),AT47,0)</f>
        <v>0</v>
      </c>
      <c r="AT71" s="148"/>
      <c r="AU71" s="143">
        <f>IF(AND($AQ$60&gt;=500,$AQ$60&lt;600),AT47,0)</f>
        <v>0</v>
      </c>
      <c r="AV71" s="146"/>
    </row>
    <row r="72" spans="31:49" ht="12.6" customHeight="1">
      <c r="AM72" s="147"/>
      <c r="AN72" s="148"/>
      <c r="AO72" s="148"/>
      <c r="AP72" s="142">
        <v>4</v>
      </c>
      <c r="AQ72" s="143">
        <f>IF(AND($AQ$58&gt;=400,$AQ$58&lt;500),AR46,0)</f>
        <v>0</v>
      </c>
      <c r="AR72" s="142"/>
      <c r="AS72" s="143">
        <f>IF(AND($AQ$59&gt;=400,$AQ$59&lt;500),AT46,0)</f>
        <v>0</v>
      </c>
      <c r="AT72" s="148"/>
      <c r="AU72" s="143">
        <f>IF(AND($AQ$60&gt;=400,$AQ$60&lt;500),AT46,0)</f>
        <v>0</v>
      </c>
      <c r="AV72" s="146"/>
    </row>
    <row r="73" spans="31:49" ht="12.6" customHeight="1">
      <c r="AM73" s="147"/>
      <c r="AN73" s="148"/>
      <c r="AO73" s="148"/>
      <c r="AP73" s="142">
        <v>3</v>
      </c>
      <c r="AQ73" s="143">
        <f>IF(AND($AQ$58&gt;=300,$AQ$58&lt;400),AR45,0)</f>
        <v>0</v>
      </c>
      <c r="AR73" s="142"/>
      <c r="AS73" s="143">
        <f>IF(AND($AQ$59&gt;=300,$AQ$59&lt;400),AT45,0)</f>
        <v>0</v>
      </c>
      <c r="AT73" s="148"/>
      <c r="AU73" s="143">
        <f>IF(AND($AQ$60&gt;=300,$AQ$60&lt;400),AT45,0)</f>
        <v>500</v>
      </c>
      <c r="AV73" s="146"/>
    </row>
    <row r="74" spans="31:49" ht="12.6" customHeight="1">
      <c r="AM74" s="147"/>
      <c r="AN74" s="148"/>
      <c r="AO74" s="148"/>
      <c r="AP74" s="142">
        <v>2</v>
      </c>
      <c r="AQ74" s="143">
        <f>IF(AND($AQ$58&gt;=200,$AQ$58&lt;300),AR44,0)</f>
        <v>0</v>
      </c>
      <c r="AR74" s="142"/>
      <c r="AS74" s="143">
        <f>IF(AND($AQ$59&gt;=200,$AQ$59&lt;300),AT44,0)</f>
        <v>0</v>
      </c>
      <c r="AT74" s="148"/>
      <c r="AU74" s="143">
        <f>IF(AND($AQ$60&gt;=200,$AQ$60&lt;300),AT44,0)</f>
        <v>0</v>
      </c>
      <c r="AV74" s="146"/>
    </row>
    <row r="75" spans="31:49" ht="12.6" customHeight="1">
      <c r="AF75" s="56"/>
      <c r="AG75" s="55"/>
      <c r="AM75" s="147"/>
      <c r="AN75" s="148"/>
      <c r="AO75" s="148"/>
      <c r="AP75" s="142">
        <v>1</v>
      </c>
      <c r="AQ75" s="143">
        <f>IF(AND($AQ$58&gt;=100,$AQ$58&lt;200),AR43,0)</f>
        <v>0</v>
      </c>
      <c r="AR75" s="142"/>
      <c r="AS75" s="143">
        <f>IF(AND($AQ$59&gt;=100,$AQ$59&lt;200),AT43,0)</f>
        <v>0</v>
      </c>
      <c r="AT75" s="148"/>
      <c r="AU75" s="143">
        <f>IF(AND($AQ$60&gt;=100,$AQ$60&lt;200),AT43,0)</f>
        <v>0</v>
      </c>
      <c r="AV75" s="146"/>
    </row>
    <row r="76" spans="31:49" ht="12.6" customHeight="1">
      <c r="AF76" s="55"/>
      <c r="AG76" s="55"/>
      <c r="AM76" s="147"/>
      <c r="AN76" s="148"/>
      <c r="AO76" s="148"/>
      <c r="AP76" s="142" t="s">
        <v>156</v>
      </c>
      <c r="AQ76" s="143">
        <f>SUM(AQ63:AQ75)</f>
        <v>2000</v>
      </c>
      <c r="AR76" s="142"/>
      <c r="AS76" s="143">
        <f>SUM(AS63:AS75)</f>
        <v>2000</v>
      </c>
      <c r="AT76" s="148"/>
      <c r="AU76" s="143">
        <f>SUM(AU63:AU75)</f>
        <v>500</v>
      </c>
      <c r="AV76" s="146"/>
    </row>
    <row r="77" spans="31:49" ht="12.6" customHeight="1" thickBot="1">
      <c r="AF77" s="55"/>
      <c r="AG77" s="55"/>
      <c r="AM77" s="149"/>
      <c r="AN77" s="150"/>
      <c r="AO77" s="150"/>
      <c r="AP77" s="150"/>
      <c r="AQ77" s="151"/>
      <c r="AR77" s="150"/>
      <c r="AS77" s="150"/>
      <c r="AT77" s="150"/>
      <c r="AU77" s="150"/>
      <c r="AV77" s="152"/>
    </row>
    <row r="78" spans="31:49" ht="12.6" customHeight="1">
      <c r="AF78" s="55"/>
      <c r="AG78" s="55"/>
    </row>
    <row r="79" spans="31:49" ht="12.6" customHeight="1">
      <c r="AF79" s="55"/>
      <c r="AG79" s="55"/>
    </row>
    <row r="80" spans="31:49" ht="12.6" customHeight="1">
      <c r="AF80" s="55"/>
      <c r="AG80" s="55"/>
    </row>
    <row r="81" spans="32:36" ht="12.6" customHeight="1">
      <c r="AF81" s="55"/>
      <c r="AG81" s="55"/>
      <c r="AH81" s="55"/>
      <c r="AI81" s="55"/>
      <c r="AJ81" s="55"/>
    </row>
    <row r="82" spans="32:36" ht="12.6" customHeight="1">
      <c r="AF82" s="55"/>
      <c r="AG82" s="55"/>
      <c r="AH82" s="55"/>
      <c r="AI82" s="55"/>
      <c r="AJ82" s="55"/>
    </row>
    <row r="83" spans="32:36" ht="12.6" customHeight="1">
      <c r="AF83" s="55"/>
      <c r="AG83" s="55"/>
      <c r="AH83" s="55"/>
      <c r="AI83" s="55"/>
      <c r="AJ83" s="55"/>
    </row>
    <row r="84" spans="32:36" ht="12.6" customHeight="1">
      <c r="AF84" s="55"/>
      <c r="AG84" s="55"/>
      <c r="AH84" s="55"/>
      <c r="AI84" s="55"/>
      <c r="AJ84" s="55"/>
    </row>
    <row r="85" spans="32:36" ht="12.6" customHeight="1">
      <c r="AF85" s="55"/>
      <c r="AG85" s="55"/>
      <c r="AH85" s="55"/>
      <c r="AI85" s="55"/>
      <c r="AJ85" s="55"/>
    </row>
    <row r="86" spans="32:36" ht="12.6" customHeight="1">
      <c r="AF86" s="55"/>
      <c r="AG86" s="55"/>
      <c r="AH86" s="55"/>
      <c r="AI86" s="55"/>
      <c r="AJ86" s="55"/>
    </row>
    <row r="87" spans="32:36" ht="12.6" customHeight="1">
      <c r="AF87" s="55"/>
      <c r="AG87" s="55"/>
      <c r="AH87" s="55"/>
      <c r="AI87" s="55"/>
      <c r="AJ87" s="55"/>
    </row>
    <row r="88" spans="32:36" ht="12.6" customHeight="1"/>
    <row r="89" spans="32:36" ht="12.6" customHeight="1">
      <c r="AF89" s="55"/>
      <c r="AG89" s="55"/>
      <c r="AH89" s="55"/>
    </row>
    <row r="90" spans="32:36" ht="12.6" customHeight="1">
      <c r="AF90" s="55"/>
      <c r="AG90" s="55"/>
      <c r="AH90" s="55"/>
    </row>
    <row r="91" spans="32:36" ht="12.6" customHeight="1">
      <c r="AF91" s="55"/>
      <c r="AG91" s="55"/>
      <c r="AH91" s="55"/>
    </row>
    <row r="92" spans="32:36" ht="12.6" customHeight="1">
      <c r="AF92" s="55"/>
      <c r="AG92" s="55"/>
      <c r="AH92" s="55"/>
    </row>
    <row r="93" spans="32:36" ht="12.6" customHeight="1">
      <c r="AF93" s="55"/>
      <c r="AG93" s="55"/>
      <c r="AH93" s="55"/>
    </row>
    <row r="94" spans="32:36" ht="12.6" customHeight="1">
      <c r="AF94" s="41"/>
      <c r="AG94" s="41"/>
    </row>
    <row r="95" spans="32:36" ht="12.6" customHeight="1">
      <c r="AF95" s="41"/>
      <c r="AG95" s="41"/>
    </row>
    <row r="96" spans="32:36" ht="12.6" customHeight="1">
      <c r="AF96" s="41"/>
      <c r="AG96" s="41"/>
    </row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spans="1:10" ht="12.6" customHeight="1">
      <c r="A113" s="289"/>
      <c r="B113" s="290"/>
      <c r="C113" s="290"/>
      <c r="D113" s="290"/>
      <c r="E113" s="290"/>
      <c r="F113" s="290"/>
      <c r="G113" s="290"/>
      <c r="H113" s="290"/>
      <c r="I113" s="290"/>
      <c r="J113" s="290"/>
    </row>
    <row r="114" spans="1:10" ht="12.6" customHeight="1">
      <c r="A114" s="289"/>
      <c r="B114" s="290"/>
      <c r="C114" s="290"/>
      <c r="D114" s="290"/>
      <c r="E114" s="290"/>
      <c r="F114" s="290"/>
      <c r="G114" s="290"/>
      <c r="H114" s="290"/>
      <c r="I114" s="290"/>
      <c r="J114" s="290"/>
    </row>
    <row r="115" spans="1:10" ht="12.6" customHeight="1">
      <c r="A115" s="289"/>
      <c r="B115" s="290"/>
      <c r="C115" s="290"/>
      <c r="D115" s="290"/>
      <c r="E115" s="290"/>
      <c r="F115" s="290"/>
      <c r="G115" s="290"/>
      <c r="H115" s="290"/>
      <c r="I115" s="290"/>
      <c r="J115" s="290"/>
    </row>
    <row r="116" spans="1:10" ht="12.6" customHeight="1">
      <c r="A116" s="289"/>
      <c r="B116" s="290"/>
      <c r="C116" s="290"/>
      <c r="D116" s="290"/>
      <c r="E116" s="290"/>
      <c r="F116" s="290"/>
      <c r="G116" s="290"/>
      <c r="H116" s="290"/>
      <c r="I116" s="290"/>
      <c r="J116" s="290"/>
    </row>
    <row r="117" spans="1:10" ht="12.6" customHeight="1"/>
    <row r="118" spans="1:10" ht="12.6" customHeight="1"/>
    <row r="119" spans="1:10" ht="12.6" customHeight="1"/>
    <row r="120" spans="1:10" ht="12.6" customHeight="1"/>
    <row r="121" spans="1:10" ht="12.6" customHeight="1"/>
    <row r="122" spans="1:10" ht="12.6" customHeight="1"/>
    <row r="123" spans="1:10" ht="12.6" customHeight="1"/>
    <row r="124" spans="1:10" ht="12.6" customHeight="1">
      <c r="E124" s="7"/>
    </row>
    <row r="125" spans="1:10" ht="12.6" customHeight="1"/>
    <row r="126" spans="1:10" ht="12.6" customHeight="1"/>
    <row r="127" spans="1:10" ht="12.6" customHeight="1"/>
    <row r="128" spans="1:10" ht="12.6" customHeight="1">
      <c r="D128" s="117"/>
    </row>
    <row r="129" spans="4:28" ht="12.6" customHeight="1">
      <c r="D129" s="117"/>
    </row>
    <row r="130" spans="4:28" ht="12.6" customHeight="1">
      <c r="D130" s="117"/>
    </row>
    <row r="131" spans="4:28" ht="12.6" customHeight="1">
      <c r="D131" s="117"/>
    </row>
    <row r="132" spans="4:28" ht="12.6" customHeight="1">
      <c r="D132" s="117"/>
      <c r="E132" s="7"/>
    </row>
    <row r="133" spans="4:28" ht="12.6" customHeight="1">
      <c r="D133" s="117"/>
      <c r="E133" s="7"/>
    </row>
    <row r="134" spans="4:28" ht="12.6" customHeight="1">
      <c r="D134" s="117"/>
      <c r="E134" s="7"/>
    </row>
    <row r="135" spans="4:28" ht="12.6" customHeight="1">
      <c r="D135" s="117"/>
      <c r="E135" s="7"/>
    </row>
    <row r="136" spans="4:28" ht="12.6" customHeight="1">
      <c r="D136" s="117"/>
      <c r="E136" s="7"/>
    </row>
    <row r="137" spans="4:28" ht="12.6" customHeight="1">
      <c r="D137" s="117"/>
      <c r="E137" s="7"/>
    </row>
    <row r="138" spans="4:28" ht="12.6" customHeight="1">
      <c r="D138" s="117"/>
      <c r="E138" s="7"/>
      <c r="F138" s="289"/>
      <c r="G138" s="291"/>
      <c r="H138" s="291"/>
      <c r="I138" s="291"/>
      <c r="J138" s="291"/>
      <c r="K138" s="291"/>
      <c r="L138" s="291"/>
      <c r="M138" s="291"/>
      <c r="N138" s="291"/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291"/>
      <c r="AA138" s="291"/>
      <c r="AB138" s="291"/>
    </row>
    <row r="139" spans="4:28" ht="12.6" customHeight="1">
      <c r="E139" s="7"/>
      <c r="F139" s="289"/>
      <c r="G139" s="291"/>
      <c r="H139" s="291"/>
      <c r="I139" s="291"/>
      <c r="J139" s="291"/>
      <c r="K139" s="291"/>
      <c r="L139" s="291"/>
      <c r="M139" s="291"/>
      <c r="N139" s="291"/>
      <c r="O139" s="291"/>
      <c r="P139" s="291"/>
      <c r="Q139" s="291"/>
      <c r="R139" s="291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</row>
    <row r="140" spans="4:28" ht="12.6" customHeight="1">
      <c r="G140" s="126"/>
      <c r="H140" s="126"/>
      <c r="I140" s="126"/>
      <c r="J140" s="126"/>
      <c r="K140" s="126"/>
      <c r="AB140" s="126"/>
    </row>
    <row r="141" spans="4:28" ht="12.6" customHeight="1"/>
    <row r="142" spans="4:28" ht="12.6" customHeight="1"/>
    <row r="143" spans="4:28" ht="12.6" customHeight="1">
      <c r="J143" s="55"/>
      <c r="K143" s="55"/>
    </row>
    <row r="144" spans="4:28" ht="12.6" customHeight="1"/>
    <row r="145" spans="10:11" ht="12.6" customHeight="1"/>
    <row r="146" spans="10:11" ht="12.6" customHeight="1">
      <c r="J146" s="55"/>
      <c r="K146" s="55"/>
    </row>
    <row r="147" spans="10:11" ht="12.6" customHeight="1">
      <c r="J147" s="55"/>
      <c r="K147" s="55"/>
    </row>
    <row r="148" spans="10:11" ht="12.6" customHeight="1">
      <c r="J148" s="55"/>
      <c r="K148" s="55"/>
    </row>
    <row r="149" spans="10:11" ht="12.6" customHeight="1">
      <c r="J149" s="55"/>
      <c r="K149" s="55"/>
    </row>
    <row r="150" spans="10:11" ht="12.6" customHeight="1">
      <c r="J150" s="55"/>
      <c r="K150" s="55"/>
    </row>
    <row r="151" spans="10:11" ht="12.6" customHeight="1">
      <c r="J151" s="55"/>
      <c r="K151" s="55"/>
    </row>
    <row r="152" spans="10:11" ht="12.6" customHeight="1">
      <c r="J152" s="55"/>
      <c r="K152" s="55"/>
    </row>
    <row r="153" spans="10:11" ht="12.6" customHeight="1">
      <c r="J153" s="55"/>
      <c r="K153" s="55"/>
    </row>
    <row r="154" spans="10:11" ht="12.6" customHeight="1">
      <c r="J154" s="55"/>
      <c r="K154" s="55"/>
    </row>
    <row r="155" spans="10:11" ht="12.6" customHeight="1">
      <c r="J155" s="55"/>
      <c r="K155" s="55"/>
    </row>
    <row r="156" spans="10:11" ht="12.6" customHeight="1">
      <c r="J156" s="55"/>
      <c r="K156" s="55"/>
    </row>
    <row r="157" spans="10:11" ht="12.6" customHeight="1">
      <c r="J157" s="55"/>
      <c r="K157" s="55"/>
    </row>
    <row r="158" spans="10:11" ht="12.6" customHeight="1">
      <c r="J158" s="55"/>
      <c r="K158" s="55"/>
    </row>
    <row r="159" spans="10:11" ht="12.6" customHeight="1">
      <c r="J159" s="55"/>
      <c r="K159" s="55"/>
    </row>
    <row r="160" spans="10:11" ht="12.6" customHeight="1">
      <c r="J160" s="55"/>
      <c r="K160" s="55"/>
    </row>
    <row r="161" spans="10:28" ht="12.6" customHeight="1">
      <c r="J161" s="55"/>
      <c r="K161" s="55"/>
    </row>
    <row r="162" spans="10:28" ht="12.6" customHeight="1">
      <c r="J162" s="55"/>
      <c r="K162" s="55"/>
    </row>
    <row r="163" spans="10:28" ht="12.6" customHeight="1">
      <c r="J163" s="55"/>
      <c r="K163" s="55"/>
    </row>
    <row r="164" spans="10:28" ht="12.6" customHeight="1">
      <c r="J164" s="55"/>
      <c r="K164" s="55"/>
    </row>
    <row r="165" spans="10:28" ht="12.6" customHeight="1">
      <c r="J165" s="55"/>
      <c r="K165" s="55"/>
    </row>
    <row r="166" spans="10:28" ht="12.6" customHeight="1">
      <c r="J166" s="55"/>
      <c r="K166" s="55"/>
    </row>
    <row r="167" spans="10:28" ht="12.6" customHeight="1">
      <c r="J167" s="55"/>
      <c r="K167" s="55"/>
    </row>
    <row r="168" spans="10:28" ht="12.6" customHeight="1">
      <c r="J168" s="55"/>
      <c r="K168" s="55"/>
    </row>
    <row r="169" spans="10:28" ht="12.6" customHeight="1">
      <c r="J169" s="55"/>
      <c r="K169" s="55"/>
    </row>
    <row r="170" spans="10:28" ht="12.6" customHeight="1">
      <c r="J170" s="55"/>
      <c r="K170" s="55"/>
    </row>
    <row r="171" spans="10:28" ht="12.6" customHeight="1">
      <c r="J171" s="55"/>
      <c r="K171" s="55"/>
    </row>
    <row r="172" spans="10:28" ht="12.6" customHeight="1">
      <c r="J172" s="55"/>
      <c r="K172" s="55"/>
    </row>
    <row r="173" spans="10:28" ht="12.6" customHeight="1">
      <c r="J173" s="55"/>
      <c r="K173" s="55"/>
    </row>
    <row r="174" spans="10:28" ht="12.6" customHeight="1">
      <c r="J174" s="55"/>
      <c r="K174" s="55"/>
    </row>
    <row r="175" spans="10:28" ht="12.6" customHeight="1">
      <c r="K175" s="68"/>
      <c r="AB175" s="11"/>
    </row>
    <row r="176" spans="10:28" ht="12.6" customHeight="1">
      <c r="J176" s="127"/>
      <c r="K176" s="68"/>
      <c r="AB176" s="11"/>
    </row>
    <row r="177" spans="10:28" ht="12.6" customHeight="1">
      <c r="J177" s="276"/>
      <c r="K177" s="68"/>
      <c r="AB177" s="11"/>
    </row>
    <row r="178" spans="10:28" ht="12.6" customHeight="1"/>
    <row r="179" spans="10:28" ht="12.6" customHeight="1"/>
    <row r="180" spans="10:28" ht="12.6" customHeight="1"/>
    <row r="181" spans="10:28" ht="12.6" customHeight="1"/>
    <row r="182" spans="10:28" ht="12.6" customHeight="1"/>
    <row r="183" spans="10:28" ht="12.6" customHeight="1"/>
    <row r="184" spans="10:28" ht="12.6" customHeight="1"/>
    <row r="185" spans="10:28" ht="12.6" customHeight="1"/>
    <row r="186" spans="10:28" ht="12.6" customHeight="1"/>
    <row r="187" spans="10:28" ht="12.6" customHeight="1"/>
    <row r="188" spans="10:28" ht="12.6" customHeight="1"/>
    <row r="189" spans="10:28" ht="12.6" customHeight="1"/>
    <row r="190" spans="10:28" ht="12.6" customHeight="1"/>
    <row r="191" spans="10:28" ht="12.6" customHeight="1"/>
    <row r="192" spans="10:28" ht="12.6" customHeight="1"/>
    <row r="193" ht="12.6" customHeight="1"/>
    <row r="194" ht="12.6" customHeight="1"/>
    <row r="195" ht="12.6" customHeight="1"/>
    <row r="196" ht="12.6" customHeight="1"/>
    <row r="197" ht="12.6" customHeight="1"/>
    <row r="198" ht="12.6" customHeight="1"/>
    <row r="199" ht="12.6" customHeight="1"/>
    <row r="200" ht="12.6" customHeight="1"/>
    <row r="201" ht="12.6" customHeight="1"/>
    <row r="202" ht="12.6" customHeight="1"/>
    <row r="203" ht="12.6" customHeight="1"/>
    <row r="204" ht="12.6" customHeight="1"/>
    <row r="205" ht="12.6" customHeight="1"/>
    <row r="206" ht="12.6" customHeight="1"/>
    <row r="207" ht="12.6" customHeight="1"/>
    <row r="208" ht="12.6" customHeight="1"/>
    <row r="209" ht="12.6" customHeight="1"/>
    <row r="210" ht="12.6" customHeight="1"/>
    <row r="211" ht="12.6" customHeight="1"/>
    <row r="212" ht="12.6" customHeight="1"/>
    <row r="213" ht="12.6" customHeight="1"/>
    <row r="214" ht="12.6" customHeight="1"/>
    <row r="215" ht="12.6" customHeight="1"/>
    <row r="216" ht="12.6" customHeight="1"/>
    <row r="217" ht="12.6" customHeight="1"/>
    <row r="218" ht="12.6" customHeight="1"/>
    <row r="219" ht="12.6" customHeight="1"/>
    <row r="220" ht="12.6" customHeight="1"/>
    <row r="221" ht="12.6" customHeight="1"/>
    <row r="222" ht="12.6" customHeight="1"/>
    <row r="223" ht="12.6" customHeight="1"/>
    <row r="224" ht="12.6" customHeight="1"/>
    <row r="225" ht="12.6" customHeight="1"/>
    <row r="226" ht="12.6" customHeight="1"/>
    <row r="227" ht="12.6" customHeight="1"/>
    <row r="228" ht="12.6" customHeight="1"/>
    <row r="229" ht="12.6" customHeight="1"/>
    <row r="230" ht="12.6" customHeight="1"/>
    <row r="231" ht="12.6" customHeight="1"/>
    <row r="232" ht="12.6" customHeight="1"/>
    <row r="233" ht="12.6" customHeight="1"/>
    <row r="234" ht="12.6" customHeight="1"/>
    <row r="235" ht="12.6" customHeight="1"/>
    <row r="236" ht="12.6" customHeight="1"/>
    <row r="237" ht="12.6" customHeight="1"/>
    <row r="238" ht="12.6" customHeight="1"/>
    <row r="239" ht="12.6" customHeight="1"/>
    <row r="240" ht="12.6" customHeight="1"/>
    <row r="241" ht="12.6" customHeight="1"/>
    <row r="242" ht="12.6" customHeight="1"/>
    <row r="243" ht="12.6" customHeight="1"/>
    <row r="244" ht="12.6" customHeight="1"/>
    <row r="245" ht="12.6" customHeight="1"/>
    <row r="246" ht="12.6" customHeight="1"/>
    <row r="247" ht="12.6" customHeight="1"/>
    <row r="248" ht="12.6" customHeight="1"/>
    <row r="249" ht="12.6" customHeight="1"/>
    <row r="250" ht="12.6" customHeight="1"/>
    <row r="251" ht="12.6" customHeight="1"/>
    <row r="252" ht="12.6" customHeight="1"/>
    <row r="253" ht="12.6" customHeight="1"/>
    <row r="254" ht="12.6" customHeight="1"/>
    <row r="255" ht="12.6" customHeight="1"/>
    <row r="256" ht="12.6" customHeight="1"/>
    <row r="257" ht="12.6" customHeight="1"/>
    <row r="258" ht="12.6" customHeight="1"/>
    <row r="259" ht="12.6" customHeight="1"/>
    <row r="260" ht="12.6" customHeight="1"/>
    <row r="261" ht="12.6" customHeight="1"/>
    <row r="262" ht="12.6" customHeight="1"/>
    <row r="263" ht="12.6" customHeight="1"/>
    <row r="264" ht="12.6" customHeight="1"/>
    <row r="265" ht="12.6" customHeight="1"/>
    <row r="266" ht="12.6" customHeight="1"/>
    <row r="267" ht="12.6" customHeight="1"/>
    <row r="268" ht="12.6" customHeight="1"/>
    <row r="269" ht="12.6" customHeight="1"/>
    <row r="270" ht="12.6" customHeight="1"/>
    <row r="271" ht="12.6" customHeight="1"/>
    <row r="272" ht="12.6" customHeight="1"/>
    <row r="273" ht="12.6" customHeight="1"/>
    <row r="274" ht="12.6" customHeight="1"/>
    <row r="275" ht="12.6" customHeight="1"/>
    <row r="276" ht="12.6" customHeight="1"/>
    <row r="277" ht="12.6" customHeight="1"/>
    <row r="278" ht="12.6" customHeight="1"/>
    <row r="279" ht="12.6" customHeight="1"/>
    <row r="280" ht="12.6" customHeight="1"/>
    <row r="281" ht="12.6" customHeight="1"/>
    <row r="282" ht="12.6" customHeight="1"/>
    <row r="283" ht="12.6" customHeight="1"/>
    <row r="284" ht="12.6" customHeight="1"/>
    <row r="285" ht="12.6" customHeight="1"/>
    <row r="286" ht="12.6" customHeight="1"/>
    <row r="287" ht="12.6" customHeight="1"/>
    <row r="288" ht="12.6" customHeight="1"/>
    <row r="289" ht="12.6" customHeight="1"/>
    <row r="290" ht="12.6" customHeight="1"/>
    <row r="291" ht="12.6" customHeight="1"/>
    <row r="292" ht="12.6" customHeight="1"/>
    <row r="293" ht="12.6" customHeight="1"/>
    <row r="294" ht="12.6" customHeight="1"/>
    <row r="295" ht="12.6" customHeight="1"/>
    <row r="296" ht="12.6" customHeight="1"/>
    <row r="297" ht="12.6" customHeight="1"/>
    <row r="298" ht="12.6" customHeight="1"/>
    <row r="299" ht="12.6" customHeight="1"/>
    <row r="300" ht="12.6" customHeight="1"/>
    <row r="301" ht="12.6" customHeight="1"/>
    <row r="302" ht="12.6" customHeight="1"/>
    <row r="303" ht="12.6" customHeight="1"/>
    <row r="304" ht="12.6" customHeight="1"/>
    <row r="305" ht="12.6" customHeight="1"/>
    <row r="306" ht="12.6" customHeight="1"/>
    <row r="307" ht="12.6" customHeight="1"/>
    <row r="308" ht="12.6" customHeight="1"/>
    <row r="309" ht="12.6" customHeight="1"/>
    <row r="310" ht="12.6" customHeight="1"/>
    <row r="311" ht="12.6" customHeight="1"/>
    <row r="312" ht="12.6" customHeight="1"/>
    <row r="313" ht="12.6" customHeight="1"/>
    <row r="314" ht="12.6" customHeight="1"/>
    <row r="315" ht="12.6" customHeight="1"/>
    <row r="316" ht="12.6" customHeight="1"/>
    <row r="317" ht="12.6" customHeight="1"/>
    <row r="318" ht="12.6" customHeight="1"/>
    <row r="319" ht="12.6" customHeight="1"/>
    <row r="320" ht="12.6" customHeight="1"/>
    <row r="321" ht="12.6" customHeight="1"/>
    <row r="322" ht="12.6" customHeight="1"/>
    <row r="323" ht="12.6" customHeight="1"/>
    <row r="324" ht="12.6" customHeight="1"/>
    <row r="325" ht="12.6" customHeight="1"/>
    <row r="326" ht="12.6" customHeight="1"/>
    <row r="327" ht="12.6" customHeight="1"/>
    <row r="328" ht="12.6" customHeight="1"/>
    <row r="329" ht="12.6" customHeight="1"/>
    <row r="330" ht="12.6" customHeight="1"/>
    <row r="331" ht="12.6" customHeight="1"/>
    <row r="332" ht="12.6" customHeight="1"/>
    <row r="333" ht="12.6" customHeight="1"/>
    <row r="334" ht="12.6" customHeight="1"/>
    <row r="335" ht="12.6" customHeight="1"/>
    <row r="336" ht="12.6" customHeight="1"/>
    <row r="337" ht="12.6" customHeight="1"/>
    <row r="338" ht="12.6" customHeight="1"/>
    <row r="339" ht="12.6" customHeight="1"/>
    <row r="340" ht="12.6" customHeight="1"/>
    <row r="341" ht="12.6" customHeight="1"/>
    <row r="342" ht="12.6" customHeight="1"/>
    <row r="343" ht="12.6" customHeight="1"/>
    <row r="344" ht="12.6" customHeight="1"/>
    <row r="345" ht="12.6" customHeight="1"/>
    <row r="346" ht="12.6" customHeight="1"/>
    <row r="347" ht="12.6" customHeight="1"/>
    <row r="348" ht="12.6" customHeight="1"/>
    <row r="349" ht="12.6" customHeight="1"/>
    <row r="350" ht="12.6" customHeight="1"/>
    <row r="351" ht="12.6" customHeight="1"/>
    <row r="352" ht="12.6" customHeight="1"/>
    <row r="353" ht="12.6" customHeight="1"/>
    <row r="354" ht="12.6" customHeight="1"/>
    <row r="355" ht="12.6" customHeight="1"/>
    <row r="356" ht="12.6" customHeight="1"/>
    <row r="357" ht="12.6" customHeight="1"/>
    <row r="358" ht="12.6" customHeight="1"/>
    <row r="359" ht="12.6" customHeight="1"/>
    <row r="360" ht="12.6" customHeight="1"/>
    <row r="361" ht="12.6" customHeight="1"/>
    <row r="362" ht="12.6" customHeight="1"/>
    <row r="363" ht="12.6" customHeight="1"/>
    <row r="364" ht="12.6" customHeight="1"/>
    <row r="365" ht="12.6" customHeight="1"/>
    <row r="366" ht="12.6" customHeight="1"/>
    <row r="367" ht="12.6" customHeight="1"/>
    <row r="368" ht="12.6" customHeight="1"/>
    <row r="369" ht="12.6" customHeight="1"/>
    <row r="370" ht="12.6" customHeight="1"/>
    <row r="371" ht="12.6" customHeight="1"/>
    <row r="372" ht="12.6" customHeight="1"/>
    <row r="373" ht="12.6" customHeight="1"/>
    <row r="374" ht="12.6" customHeight="1"/>
    <row r="375" ht="12.6" customHeight="1"/>
    <row r="376" ht="12.6" customHeight="1"/>
    <row r="377" ht="12.6" customHeight="1"/>
    <row r="378" ht="12.6" customHeight="1"/>
    <row r="379" ht="12.6" customHeight="1"/>
    <row r="380" ht="12.6" customHeight="1"/>
    <row r="381" ht="12.6" customHeight="1"/>
    <row r="382" ht="12.6" customHeight="1"/>
    <row r="383" ht="12.6" customHeight="1"/>
    <row r="384" ht="12.6" customHeight="1"/>
    <row r="385" ht="12.6" customHeight="1"/>
    <row r="386" ht="12.6" customHeight="1"/>
    <row r="387" ht="12.6" customHeight="1"/>
    <row r="388" ht="12.6" customHeight="1"/>
    <row r="389" ht="12.6" customHeight="1"/>
    <row r="390" ht="12.6" customHeight="1"/>
    <row r="391" ht="12.6" customHeight="1"/>
    <row r="392" ht="12.6" customHeight="1"/>
    <row r="393" ht="12.6" customHeight="1"/>
    <row r="394" ht="12.6" customHeight="1"/>
    <row r="395" ht="12.6" customHeight="1"/>
    <row r="396" ht="12.6" customHeight="1"/>
    <row r="397" ht="12.6" customHeight="1"/>
    <row r="398" ht="12.6" customHeight="1"/>
    <row r="399" ht="12.6" customHeight="1"/>
    <row r="400" ht="12.6" customHeight="1"/>
    <row r="401" ht="12.6" customHeight="1"/>
    <row r="402" ht="12.6" customHeight="1"/>
    <row r="403" ht="12.6" customHeight="1"/>
    <row r="404" ht="12.6" customHeight="1"/>
    <row r="405" ht="12.6" customHeight="1"/>
    <row r="406" ht="12.6" customHeight="1"/>
    <row r="407" ht="12.6" customHeight="1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  <row r="1001" ht="14.25"/>
    <row r="1002" ht="14.25"/>
    <row r="1003" ht="14.25"/>
    <row r="1004" ht="14.25"/>
    <row r="1005" ht="14.25"/>
    <row r="1006" ht="14.25"/>
    <row r="1007" ht="14.25"/>
    <row r="1008" ht="14.25"/>
    <row r="1009" ht="14.25"/>
    <row r="1010" ht="14.25"/>
    <row r="1011" ht="14.25"/>
    <row r="1012" ht="14.25"/>
    <row r="1013" ht="14.25"/>
    <row r="1014" ht="14.25"/>
    <row r="1015" ht="14.25"/>
    <row r="1016" ht="14.25"/>
    <row r="1017" ht="14.25"/>
    <row r="1018" ht="14.25"/>
    <row r="1019" ht="14.25"/>
    <row r="1020" ht="14.25"/>
    <row r="1021" ht="14.25"/>
    <row r="1022" ht="14.25"/>
    <row r="1023" ht="14.25"/>
    <row r="1024" ht="14.25"/>
    <row r="1025" ht="14.25"/>
    <row r="1026" ht="14.25"/>
    <row r="1027" ht="14.25"/>
    <row r="1028" ht="14.25"/>
    <row r="1029" ht="14.25"/>
    <row r="1030" ht="14.25"/>
    <row r="1031" ht="14.25"/>
    <row r="1032" ht="14.25"/>
    <row r="1033" ht="14.25"/>
    <row r="1034" ht="14.25"/>
    <row r="1035" ht="14.25"/>
    <row r="1036" ht="14.25"/>
    <row r="1037" ht="14.25"/>
    <row r="1038" ht="14.25"/>
    <row r="1039" ht="14.25"/>
    <row r="1040" ht="14.25"/>
    <row r="1041" ht="14.25"/>
    <row r="1042" ht="14.25"/>
    <row r="1043" ht="14.25"/>
    <row r="1044" ht="14.25"/>
    <row r="1045" ht="14.25"/>
    <row r="1046" ht="14.25"/>
    <row r="1047" ht="14.25"/>
    <row r="1048" ht="14.25"/>
    <row r="1049" ht="14.25"/>
    <row r="1050" ht="14.25"/>
    <row r="1051" ht="14.25"/>
    <row r="1052" ht="14.25"/>
    <row r="1053" ht="14.25"/>
    <row r="1054" ht="14.25"/>
    <row r="1055" ht="14.25"/>
    <row r="1056" ht="14.25"/>
    <row r="1057" ht="14.25"/>
    <row r="1058" ht="14.25"/>
    <row r="1059" ht="14.25"/>
    <row r="1060" ht="14.25"/>
    <row r="1061" ht="14.25"/>
    <row r="1062" ht="14.25"/>
    <row r="1063" ht="14.25"/>
    <row r="1064" ht="14.25"/>
    <row r="1065" ht="14.25"/>
    <row r="1066" ht="14.25"/>
    <row r="1067" ht="14.25"/>
    <row r="1068" ht="14.25"/>
    <row r="1069" ht="14.25"/>
    <row r="1070" ht="14.25"/>
    <row r="1071" ht="14.25"/>
    <row r="1072" ht="14.25"/>
    <row r="1073" ht="14.25"/>
    <row r="1074" ht="14.25"/>
    <row r="1075" ht="14.25"/>
    <row r="1076" ht="14.25"/>
    <row r="1077" ht="14.25"/>
    <row r="1078" ht="14.25"/>
    <row r="1079" ht="14.25"/>
    <row r="1080" ht="14.25"/>
    <row r="1081" ht="14.25"/>
    <row r="1082" ht="14.25"/>
    <row r="1083" ht="14.25"/>
    <row r="1084" ht="14.25"/>
    <row r="1085" ht="14.25"/>
    <row r="1086" ht="14.25"/>
    <row r="1087" ht="14.25"/>
    <row r="1088" ht="14.25"/>
    <row r="1089" ht="14.25"/>
    <row r="1090" ht="14.25"/>
    <row r="1091" ht="14.25"/>
    <row r="1092" ht="14.25"/>
    <row r="1093" ht="14.25"/>
    <row r="1094" ht="14.25"/>
    <row r="1095" ht="14.25"/>
    <row r="1096" ht="14.25"/>
    <row r="1097" ht="14.25"/>
    <row r="1098" ht="14.25"/>
    <row r="1099" ht="14.25"/>
    <row r="1100" ht="14.25"/>
    <row r="1101" ht="14.25"/>
    <row r="1102" ht="14.25"/>
    <row r="1103" ht="14.25"/>
    <row r="1104" ht="14.25"/>
    <row r="1105" ht="14.25"/>
    <row r="1106" ht="14.25"/>
    <row r="1107" ht="14.25"/>
    <row r="1108" ht="14.25"/>
    <row r="1109" ht="14.25"/>
    <row r="1110" ht="14.25"/>
    <row r="1111" ht="14.25"/>
    <row r="1112" ht="14.25"/>
    <row r="1113" ht="14.25"/>
    <row r="1114" ht="14.25"/>
    <row r="1115" ht="14.25"/>
    <row r="1116" ht="14.25"/>
    <row r="1117" ht="14.25"/>
    <row r="1118" ht="14.25"/>
    <row r="1119" ht="14.25"/>
    <row r="1120" ht="14.25"/>
    <row r="1121" ht="14.25"/>
    <row r="1122" ht="14.25"/>
    <row r="1123" ht="14.25"/>
    <row r="1124" ht="14.25"/>
    <row r="1125" ht="14.25"/>
    <row r="1126" ht="14.25"/>
    <row r="1127" ht="14.25"/>
    <row r="1128" ht="14.25"/>
    <row r="1129" ht="14.25"/>
    <row r="1130" ht="14.25"/>
    <row r="1131" ht="14.25"/>
    <row r="1132" ht="14.25"/>
    <row r="1133" ht="14.25"/>
    <row r="1134" ht="14.25"/>
    <row r="1135" ht="14.25"/>
    <row r="1136" ht="14.25"/>
    <row r="1137" ht="14.25"/>
    <row r="1138" ht="14.25"/>
    <row r="1139" ht="14.25"/>
    <row r="1140" ht="14.25"/>
    <row r="1141" ht="14.25"/>
    <row r="1142" ht="14.25"/>
    <row r="1143" ht="14.25"/>
    <row r="1144" ht="14.25"/>
    <row r="1145" ht="14.25"/>
    <row r="1146" ht="14.25"/>
    <row r="1147" ht="14.25"/>
    <row r="1148" ht="14.25"/>
    <row r="1149" ht="14.25"/>
    <row r="1150" ht="14.25"/>
    <row r="1151" ht="14.25"/>
    <row r="1152" ht="14.25"/>
    <row r="1153" ht="14.25"/>
    <row r="1154" ht="14.25"/>
    <row r="1155" ht="14.25"/>
    <row r="1156" ht="14.25"/>
    <row r="1157" ht="14.25"/>
    <row r="1158" ht="14.25"/>
    <row r="1159" ht="14.25"/>
    <row r="1160" ht="14.25"/>
    <row r="1161" ht="14.25"/>
    <row r="1162" ht="14.25"/>
    <row r="1163" ht="14.25"/>
    <row r="1164" ht="14.25"/>
    <row r="1165" ht="14.25"/>
    <row r="1166" ht="14.25"/>
    <row r="1167" ht="14.25"/>
    <row r="1168" ht="14.25"/>
    <row r="1169" ht="14.25"/>
    <row r="1170" ht="14.25"/>
    <row r="1171" ht="14.25"/>
  </sheetData>
  <mergeCells count="45">
    <mergeCell ref="C4:G4"/>
    <mergeCell ref="J4:K4"/>
    <mergeCell ref="N4:Q4"/>
    <mergeCell ref="U4:V4"/>
    <mergeCell ref="C5:G5"/>
    <mergeCell ref="J5:K5"/>
    <mergeCell ref="N5:Q5"/>
    <mergeCell ref="U5:V5"/>
    <mergeCell ref="C6:G6"/>
    <mergeCell ref="J6:K6"/>
    <mergeCell ref="N6:Q6"/>
    <mergeCell ref="U6:V6"/>
    <mergeCell ref="C7:G7"/>
    <mergeCell ref="J7:K7"/>
    <mergeCell ref="N7:Q7"/>
    <mergeCell ref="U7:V7"/>
    <mergeCell ref="D56:E56"/>
    <mergeCell ref="C8:G8"/>
    <mergeCell ref="J8:K8"/>
    <mergeCell ref="N8:P8"/>
    <mergeCell ref="U8:V8"/>
    <mergeCell ref="C10:E10"/>
    <mergeCell ref="N10:P10"/>
    <mergeCell ref="N11:P11"/>
    <mergeCell ref="C12:E12"/>
    <mergeCell ref="N12:P12"/>
    <mergeCell ref="O16:P16"/>
    <mergeCell ref="B39:D44"/>
    <mergeCell ref="A113:J113"/>
    <mergeCell ref="D57:E57"/>
    <mergeCell ref="L57:U57"/>
    <mergeCell ref="D58:E58"/>
    <mergeCell ref="L58:U58"/>
    <mergeCell ref="D59:E59"/>
    <mergeCell ref="L59:U59"/>
    <mergeCell ref="AS59:AU59"/>
    <mergeCell ref="D60:E60"/>
    <mergeCell ref="L60:U60"/>
    <mergeCell ref="D61:E61"/>
    <mergeCell ref="L61:U61"/>
    <mergeCell ref="A114:J114"/>
    <mergeCell ref="A115:J115"/>
    <mergeCell ref="A116:J116"/>
    <mergeCell ref="F138:AB138"/>
    <mergeCell ref="F139:AB139"/>
  </mergeCells>
  <conditionalFormatting sqref="B39:D44">
    <cfRule type="cellIs" dxfId="3" priority="1" stopIfTrue="1" operator="notEqual">
      <formula>0</formula>
    </cfRule>
  </conditionalFormatting>
  <pageMargins left="0.70866141732283472" right="0.19685039370078741" top="0.27559055118110237" bottom="0.39370078740157483" header="0.23622047244094491" footer="0.11811023622047245"/>
  <pageSetup paperSize="9" orientation="portrait" r:id="rId1"/>
  <headerFooter alignWithMargins="0">
    <oddHeader xml:space="preserve">&amp;C&amp;"Arial Narrow,Bold"&amp;14 </oddHeader>
    <oddFooter>&amp;L&amp;"Verdana,Regular"&amp;8Page &amp;P/&amp;N&amp;R&amp;"Verdana,Regular"&amp;8File: &amp;F</oddFooter>
  </headerFooter>
  <rowBreaks count="1" manualBreakCount="1">
    <brk id="62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O1171"/>
  <sheetViews>
    <sheetView showZeros="0" tabSelected="1" zoomScale="95" zoomScaleNormal="95" workbookViewId="0">
      <selection activeCell="N31" sqref="N31"/>
    </sheetView>
  </sheetViews>
  <sheetFormatPr defaultColWidth="8.85546875" defaultRowHeight="24.6" customHeight="1"/>
  <cols>
    <col min="1" max="1" width="8.7109375" style="55" customWidth="1"/>
    <col min="2" max="2" width="8.7109375" style="57" customWidth="1"/>
    <col min="3" max="3" width="8.7109375" style="55" customWidth="1"/>
    <col min="4" max="4" width="8.7109375" style="56" customWidth="1"/>
    <col min="5" max="5" width="8.7109375" style="55" customWidth="1"/>
    <col min="6" max="6" width="8.7109375" style="56" customWidth="1"/>
    <col min="7" max="7" width="8.7109375" style="57" customWidth="1"/>
    <col min="8" max="9" width="8.7109375" style="55" customWidth="1"/>
    <col min="10" max="10" width="8.7109375" style="57" customWidth="1"/>
    <col min="11" max="11" width="8.28515625" style="57" customWidth="1"/>
    <col min="12" max="21" width="8.7109375" style="55" customWidth="1"/>
    <col min="22" max="22" width="8.28515625" style="55" customWidth="1"/>
    <col min="23" max="27" width="8.85546875" style="55" customWidth="1"/>
    <col min="28" max="28" width="8.7109375" style="55" customWidth="1"/>
    <col min="29" max="29" width="9.42578125" style="55" customWidth="1"/>
    <col min="30" max="31" width="10.7109375" style="60" customWidth="1"/>
    <col min="32" max="32" width="10.7109375" style="11" customWidth="1"/>
    <col min="33" max="33" width="9.140625" style="11" customWidth="1"/>
    <col min="34" max="34" width="30.7109375" style="34" customWidth="1"/>
    <col min="35" max="37" width="15.42578125" style="11" customWidth="1"/>
    <col min="38" max="38" width="9.5703125" style="11" customWidth="1"/>
    <col min="39" max="41" width="3.140625" style="102" customWidth="1"/>
    <col min="42" max="42" width="4.7109375" style="102" customWidth="1"/>
    <col min="43" max="43" width="10.5703125" style="103" customWidth="1"/>
    <col min="44" max="48" width="10.5703125" style="102" customWidth="1"/>
    <col min="49" max="49" width="10.5703125" style="104" customWidth="1"/>
    <col min="50" max="51" width="10.5703125" style="102" customWidth="1"/>
    <col min="52" max="52" width="4.7109375" style="105" customWidth="1"/>
    <col min="53" max="53" width="9.140625" style="11" customWidth="1"/>
    <col min="54" max="54" width="3.140625" style="11" customWidth="1"/>
    <col min="55" max="56" width="3.140625" style="55" customWidth="1"/>
    <col min="57" max="57" width="4.7109375" style="55" customWidth="1"/>
    <col min="58" max="66" width="10.5703125" style="55" customWidth="1"/>
    <col min="67" max="67" width="4.7109375" style="55" customWidth="1"/>
    <col min="68" max="69" width="8.85546875" style="55" customWidth="1"/>
    <col min="70" max="16384" width="8.85546875" style="55"/>
  </cols>
  <sheetData>
    <row r="1" spans="1:67" s="7" customFormat="1" ht="17.45" customHeight="1" thickBot="1">
      <c r="A1" s="266"/>
      <c r="B1" s="2"/>
      <c r="C1" s="3"/>
      <c r="D1" s="4"/>
      <c r="E1" s="18"/>
      <c r="F1" s="19"/>
      <c r="I1" s="4"/>
      <c r="J1" s="4"/>
      <c r="K1" s="6" t="s">
        <v>245</v>
      </c>
      <c r="L1" s="266"/>
      <c r="M1" s="2"/>
      <c r="N1" s="3"/>
      <c r="O1" s="4"/>
      <c r="P1" s="18"/>
      <c r="Q1" s="19"/>
      <c r="T1" s="4"/>
      <c r="U1" s="4"/>
      <c r="V1" s="6" t="s">
        <v>245</v>
      </c>
      <c r="AF1" s="8"/>
      <c r="AG1" s="8"/>
      <c r="AH1" s="9"/>
      <c r="AI1" s="10"/>
      <c r="AJ1" s="11"/>
      <c r="AK1" s="11"/>
      <c r="AL1" s="12"/>
      <c r="AM1" s="13"/>
      <c r="AN1" s="13"/>
      <c r="AO1" s="13"/>
      <c r="AP1" s="13"/>
      <c r="AQ1" s="14"/>
      <c r="AR1" s="13"/>
      <c r="AS1" s="13"/>
      <c r="AT1" s="13"/>
      <c r="AU1" s="15" t="s">
        <v>0</v>
      </c>
      <c r="AV1" s="15"/>
      <c r="AW1" s="16"/>
      <c r="AX1" s="13"/>
      <c r="AY1" s="13"/>
      <c r="AZ1" s="13"/>
      <c r="BA1" s="2"/>
      <c r="BB1" s="13"/>
      <c r="BC1" s="13"/>
      <c r="BD1" s="13"/>
      <c r="BE1" s="13"/>
      <c r="BF1" s="14"/>
      <c r="BG1" s="13"/>
      <c r="BH1" s="13"/>
      <c r="BI1" s="13"/>
      <c r="BJ1" s="15" t="s">
        <v>1</v>
      </c>
      <c r="BK1" s="15"/>
      <c r="BL1" s="16"/>
      <c r="BM1" s="13"/>
      <c r="BN1" s="13"/>
      <c r="BO1" s="13"/>
    </row>
    <row r="2" spans="1:67" s="22" customFormat="1" ht="13.15" customHeight="1">
      <c r="A2" s="1"/>
      <c r="B2" s="17"/>
      <c r="C2" s="18"/>
      <c r="D2" s="19"/>
      <c r="I2" s="17"/>
      <c r="J2" s="17"/>
      <c r="K2" s="20"/>
      <c r="L2" s="1"/>
      <c r="M2" s="17"/>
      <c r="N2" s="18"/>
      <c r="O2" s="19"/>
      <c r="T2" s="17"/>
      <c r="U2" s="17"/>
      <c r="V2" s="20"/>
      <c r="AB2" s="17"/>
      <c r="AF2" s="23"/>
      <c r="AG2" s="23"/>
      <c r="AH2" s="24"/>
      <c r="AI2" s="21"/>
      <c r="AJ2" s="11"/>
      <c r="AK2" s="11"/>
      <c r="AL2" s="21"/>
      <c r="AM2" s="25"/>
      <c r="AN2" s="26" t="s">
        <v>2</v>
      </c>
      <c r="AO2" s="25"/>
      <c r="AP2" s="27" t="s">
        <v>3</v>
      </c>
      <c r="AQ2" s="28" t="s">
        <v>4</v>
      </c>
      <c r="AR2" s="28" t="s">
        <v>5</v>
      </c>
      <c r="AS2" s="28" t="s">
        <v>6</v>
      </c>
      <c r="AT2" s="28" t="s">
        <v>7</v>
      </c>
      <c r="AU2" s="28" t="s">
        <v>8</v>
      </c>
      <c r="AV2" s="28" t="s">
        <v>9</v>
      </c>
      <c r="AW2" s="28" t="s">
        <v>10</v>
      </c>
      <c r="AX2" s="28" t="s">
        <v>11</v>
      </c>
      <c r="AY2" s="28" t="s">
        <v>12</v>
      </c>
      <c r="AZ2" s="29"/>
      <c r="BA2" s="17"/>
      <c r="BB2" s="25"/>
      <c r="BC2" s="26" t="s">
        <v>2</v>
      </c>
      <c r="BD2" s="25"/>
      <c r="BE2" s="27" t="s">
        <v>3</v>
      </c>
      <c r="BF2" s="28" t="s">
        <v>4</v>
      </c>
      <c r="BG2" s="28" t="s">
        <v>5</v>
      </c>
      <c r="BH2" s="28" t="s">
        <v>6</v>
      </c>
      <c r="BI2" s="28" t="s">
        <v>7</v>
      </c>
      <c r="BJ2" s="28" t="s">
        <v>8</v>
      </c>
      <c r="BK2" s="28" t="s">
        <v>9</v>
      </c>
      <c r="BL2" s="28" t="s">
        <v>10</v>
      </c>
      <c r="BM2" s="28" t="s">
        <v>11</v>
      </c>
      <c r="BN2" s="28" t="s">
        <v>12</v>
      </c>
      <c r="BO2" s="29"/>
    </row>
    <row r="3" spans="1:67" s="7" customFormat="1" ht="13.15" customHeight="1">
      <c r="A3" s="30" t="s">
        <v>13</v>
      </c>
      <c r="B3" s="18"/>
      <c r="C3" s="18"/>
      <c r="D3" s="31"/>
      <c r="E3" s="18"/>
      <c r="F3" s="31"/>
      <c r="I3" s="32"/>
      <c r="J3" s="2"/>
      <c r="K3" s="20"/>
      <c r="L3" s="30" t="str">
        <f t="shared" ref="L3:L8" si="0">A3</f>
        <v>CIRCUIT  CALCULATION  SHEET:</v>
      </c>
      <c r="M3" s="18"/>
      <c r="N3" s="18"/>
      <c r="O3" s="31"/>
      <c r="P3" s="18"/>
      <c r="Q3" s="31"/>
      <c r="T3" s="32"/>
      <c r="U3" s="2"/>
      <c r="V3" s="20"/>
      <c r="AD3" s="7" t="s">
        <v>15</v>
      </c>
      <c r="AF3" s="11"/>
      <c r="AG3" s="11"/>
      <c r="AH3" s="34"/>
      <c r="AI3" s="11"/>
      <c r="AJ3" s="11"/>
      <c r="AK3" s="11"/>
      <c r="AL3" s="11"/>
      <c r="AM3" s="35"/>
      <c r="AN3" s="36"/>
      <c r="AO3" s="35"/>
      <c r="AP3" s="37"/>
      <c r="AQ3" s="38" t="str">
        <f t="shared" ref="AQ3:AY3" si="1">AQ2</f>
        <v>BS 7671</v>
      </c>
      <c r="AR3" s="38" t="str">
        <f t="shared" si="1"/>
        <v>ABB</v>
      </c>
      <c r="AS3" s="38" t="str">
        <f t="shared" si="1"/>
        <v>Crabtree</v>
      </c>
      <c r="AT3" s="38" t="str">
        <f t="shared" si="1"/>
        <v>Dorman</v>
      </c>
      <c r="AU3" s="38" t="str">
        <f t="shared" si="1"/>
        <v>Hager</v>
      </c>
      <c r="AV3" s="38" t="str">
        <f t="shared" si="1"/>
        <v>MEM</v>
      </c>
      <c r="AW3" s="38" t="str">
        <f t="shared" si="1"/>
        <v>Schneider</v>
      </c>
      <c r="AX3" s="38" t="str">
        <f t="shared" si="1"/>
        <v>Siemens</v>
      </c>
      <c r="AY3" s="38" t="str">
        <f t="shared" si="1"/>
        <v>Square D</v>
      </c>
      <c r="AZ3" s="39"/>
      <c r="BA3" s="11"/>
      <c r="BB3" s="35"/>
      <c r="BC3" s="36"/>
      <c r="BD3" s="35"/>
      <c r="BE3" s="37"/>
      <c r="BF3" s="38" t="str">
        <f t="shared" ref="BF3:BN3" si="2">BF2</f>
        <v>BS 7671</v>
      </c>
      <c r="BG3" s="38" t="str">
        <f t="shared" si="2"/>
        <v>ABB</v>
      </c>
      <c r="BH3" s="38" t="str">
        <f t="shared" si="2"/>
        <v>Crabtree</v>
      </c>
      <c r="BI3" s="38" t="str">
        <f t="shared" si="2"/>
        <v>Dorman</v>
      </c>
      <c r="BJ3" s="38" t="str">
        <f t="shared" si="2"/>
        <v>Hager</v>
      </c>
      <c r="BK3" s="38" t="str">
        <f t="shared" si="2"/>
        <v>MEM</v>
      </c>
      <c r="BL3" s="38" t="str">
        <f t="shared" si="2"/>
        <v>Schneider</v>
      </c>
      <c r="BM3" s="38" t="str">
        <f t="shared" si="2"/>
        <v>Siemens</v>
      </c>
      <c r="BN3" s="38" t="str">
        <f t="shared" si="2"/>
        <v>Square D</v>
      </c>
      <c r="BO3" s="39"/>
    </row>
    <row r="4" spans="1:67" s="7" customFormat="1" ht="13.15" customHeight="1">
      <c r="A4" s="31" t="s">
        <v>16</v>
      </c>
      <c r="C4" s="316" t="str">
        <f>Project_Name</f>
        <v>Fife-JV</v>
      </c>
      <c r="D4" s="283"/>
      <c r="E4" s="283"/>
      <c r="F4" s="283"/>
      <c r="G4" s="283"/>
      <c r="I4" s="33" t="s">
        <v>14</v>
      </c>
      <c r="J4" s="317" t="str">
        <f>Prep_By</f>
        <v>N Holmes</v>
      </c>
      <c r="K4" s="318"/>
      <c r="L4" s="31" t="str">
        <f t="shared" si="0"/>
        <v>Project Name:</v>
      </c>
      <c r="N4" s="316" t="str">
        <f>Project_Name</f>
        <v>Fife-JV</v>
      </c>
      <c r="O4" s="283"/>
      <c r="P4" s="283"/>
      <c r="Q4" s="283"/>
      <c r="T4" s="33" t="str">
        <f>I4</f>
        <v>Prepared By:</v>
      </c>
      <c r="U4" s="317" t="str">
        <f>Prep_By</f>
        <v>N Holmes</v>
      </c>
      <c r="V4" s="318"/>
      <c r="AD4" s="22" t="s">
        <v>19</v>
      </c>
      <c r="AF4" s="40"/>
      <c r="AG4" s="41"/>
      <c r="AH4" s="42"/>
      <c r="AI4" s="5"/>
      <c r="AJ4" s="5"/>
      <c r="AK4" s="5"/>
      <c r="AL4" s="5"/>
      <c r="AM4" s="43"/>
      <c r="AN4" s="44" t="s">
        <v>20</v>
      </c>
      <c r="AO4" s="43"/>
      <c r="AP4" s="45" t="s">
        <v>21</v>
      </c>
      <c r="AQ4" s="46">
        <v>8</v>
      </c>
      <c r="AR4" s="46">
        <v>7.7</v>
      </c>
      <c r="AS4" s="46"/>
      <c r="AT4" s="46"/>
      <c r="AU4" s="46">
        <v>8.8000000000000007</v>
      </c>
      <c r="AV4" s="46"/>
      <c r="AW4" s="46">
        <v>7.6</v>
      </c>
      <c r="AX4" s="46"/>
      <c r="AY4" s="46"/>
      <c r="AZ4" s="47"/>
      <c r="BA4" s="5"/>
      <c r="BB4" s="43"/>
      <c r="BC4" s="44" t="s">
        <v>20</v>
      </c>
      <c r="BD4" s="43"/>
      <c r="BE4" s="45" t="s">
        <v>21</v>
      </c>
      <c r="BF4" s="46">
        <v>8</v>
      </c>
      <c r="BG4" s="46">
        <v>7.7</v>
      </c>
      <c r="BH4" s="46"/>
      <c r="BI4" s="46"/>
      <c r="BJ4" s="46">
        <v>8</v>
      </c>
      <c r="BK4" s="46"/>
      <c r="BL4" s="46">
        <v>7.6</v>
      </c>
      <c r="BM4" s="46"/>
      <c r="BN4" s="46"/>
      <c r="BO4" s="47"/>
    </row>
    <row r="5" spans="1:67" s="22" customFormat="1" ht="13.15" customHeight="1">
      <c r="A5" s="31" t="s">
        <v>22</v>
      </c>
      <c r="C5" s="316" t="str">
        <f>Project_No</f>
        <v>MW502</v>
      </c>
      <c r="D5" s="283"/>
      <c r="E5" s="283"/>
      <c r="F5" s="283"/>
      <c r="G5" s="283"/>
      <c r="I5" s="33" t="s">
        <v>18</v>
      </c>
      <c r="J5" s="319" t="str">
        <f>Date</f>
        <v>26.06.10</v>
      </c>
      <c r="K5" s="318"/>
      <c r="L5" s="31" t="str">
        <f t="shared" si="0"/>
        <v>Project Nº:</v>
      </c>
      <c r="N5" s="316" t="str">
        <f>Project_No</f>
        <v>MW502</v>
      </c>
      <c r="O5" s="283"/>
      <c r="P5" s="283"/>
      <c r="Q5" s="283"/>
      <c r="T5" s="33" t="str">
        <f>I5</f>
        <v>Date Prepared:</v>
      </c>
      <c r="U5" s="319" t="str">
        <f>Date</f>
        <v>26.06.10</v>
      </c>
      <c r="V5" s="318"/>
      <c r="AD5" s="22" t="s">
        <v>25</v>
      </c>
      <c r="AF5" s="40"/>
      <c r="AG5" s="41"/>
      <c r="AH5" s="42"/>
      <c r="AI5" s="5" t="s">
        <v>253</v>
      </c>
      <c r="AJ5" s="5" t="s">
        <v>254</v>
      </c>
      <c r="AK5" s="5" t="s">
        <v>255</v>
      </c>
      <c r="AL5" s="5"/>
      <c r="AM5" s="48"/>
      <c r="AN5" s="49" t="s">
        <v>29</v>
      </c>
      <c r="AO5" s="48"/>
      <c r="AP5" s="50" t="s">
        <v>30</v>
      </c>
      <c r="AQ5" s="51">
        <v>4</v>
      </c>
      <c r="AR5" s="51">
        <v>3.8</v>
      </c>
      <c r="AS5" s="51"/>
      <c r="AT5" s="51"/>
      <c r="AU5" s="46">
        <v>8.8000000000000007</v>
      </c>
      <c r="AV5" s="51"/>
      <c r="AW5" s="51">
        <v>4.8899999999999997</v>
      </c>
      <c r="AX5" s="51"/>
      <c r="AY5" s="46"/>
      <c r="AZ5" s="52"/>
      <c r="BA5" s="5"/>
      <c r="BB5" s="48"/>
      <c r="BC5" s="49" t="s">
        <v>29</v>
      </c>
      <c r="BD5" s="48"/>
      <c r="BE5" s="50" t="s">
        <v>30</v>
      </c>
      <c r="BF5" s="51">
        <v>4</v>
      </c>
      <c r="BG5" s="51">
        <v>3.8</v>
      </c>
      <c r="BH5" s="51"/>
      <c r="BI5" s="51"/>
      <c r="BJ5" s="46">
        <v>4</v>
      </c>
      <c r="BK5" s="51"/>
      <c r="BL5" s="51">
        <v>3.88</v>
      </c>
      <c r="BM5" s="51"/>
      <c r="BN5" s="46"/>
      <c r="BO5" s="52"/>
    </row>
    <row r="6" spans="1:67" s="22" customFormat="1" ht="13.15" customHeight="1">
      <c r="A6" s="31" t="s">
        <v>31</v>
      </c>
      <c r="C6" s="316" t="str">
        <f>Area_Zone_Level</f>
        <v>Level 00 - DB Zone E1|0|BL</v>
      </c>
      <c r="D6" s="283"/>
      <c r="E6" s="283"/>
      <c r="F6" s="283"/>
      <c r="G6" s="283"/>
      <c r="I6" s="33" t="s">
        <v>24</v>
      </c>
      <c r="J6" s="317" t="s">
        <v>243</v>
      </c>
      <c r="K6" s="318"/>
      <c r="L6" s="31" t="str">
        <f t="shared" si="0"/>
        <v>Area/Zone/Level:</v>
      </c>
      <c r="N6" s="316" t="str">
        <f>Area_Zone_Level</f>
        <v>Level 00 - DB Zone E1|0|BL</v>
      </c>
      <c r="O6" s="283"/>
      <c r="P6" s="283"/>
      <c r="Q6" s="283"/>
      <c r="T6" s="33" t="str">
        <f>I6</f>
        <v>Revision:</v>
      </c>
      <c r="U6" s="317" t="str">
        <f>J6</f>
        <v>C1</v>
      </c>
      <c r="V6" s="318"/>
      <c r="AD6" s="22" t="s">
        <v>34</v>
      </c>
      <c r="AF6" s="40"/>
      <c r="AG6" s="41"/>
      <c r="AH6" s="53" t="s">
        <v>35</v>
      </c>
      <c r="AI6" s="54">
        <f>IF(AND(homerun_csa=1.5,homerun_tp=70),16,IF(AND(homerun_csa=2.5,homerun_tp=70),25,IF(AND(homerun_csa=4,homerun_tp=70),34,IF(AND(homerun_csa=6,homerun_tp=70),44,"ERR"))))</f>
        <v>34</v>
      </c>
      <c r="AJ6" s="54">
        <f>IF(AND(extender_csa=2.5,extender_tp=70),30,"ERR")</f>
        <v>30</v>
      </c>
      <c r="AK6" s="54">
        <f>IF(AND(SD_csa=1.5,SD_tp=70),16,IF(AND(SD_csa=2.5,SD_tp=70),25,"ERR"))</f>
        <v>16</v>
      </c>
      <c r="AL6" s="5"/>
      <c r="AM6" s="48"/>
      <c r="AN6" s="49" t="s">
        <v>29</v>
      </c>
      <c r="AO6" s="48"/>
      <c r="AP6" s="50" t="s">
        <v>36</v>
      </c>
      <c r="AQ6" s="51">
        <v>2</v>
      </c>
      <c r="AR6" s="51">
        <v>2.7</v>
      </c>
      <c r="AS6" s="51"/>
      <c r="AT6" s="51"/>
      <c r="AU6" s="46">
        <v>8.8000000000000007</v>
      </c>
      <c r="AV6" s="51"/>
      <c r="AW6" s="51">
        <v>4.8899999999999997</v>
      </c>
      <c r="AX6" s="51"/>
      <c r="AY6" s="46"/>
      <c r="AZ6" s="52"/>
      <c r="BA6" s="5"/>
      <c r="BB6" s="48"/>
      <c r="BC6" s="49" t="s">
        <v>29</v>
      </c>
      <c r="BD6" s="48"/>
      <c r="BE6" s="50" t="s">
        <v>36</v>
      </c>
      <c r="BF6" s="51">
        <v>2</v>
      </c>
      <c r="BG6" s="51">
        <v>2.7</v>
      </c>
      <c r="BH6" s="51"/>
      <c r="BI6" s="51"/>
      <c r="BJ6" s="46">
        <v>1</v>
      </c>
      <c r="BK6" s="51"/>
      <c r="BL6" s="51">
        <v>2.74</v>
      </c>
      <c r="BM6" s="51"/>
      <c r="BN6" s="46"/>
      <c r="BO6" s="52"/>
    </row>
    <row r="7" spans="1:67" s="22" customFormat="1" ht="13.15" customHeight="1">
      <c r="A7" s="31" t="s">
        <v>37</v>
      </c>
      <c r="C7" s="316" t="str">
        <f>Drawing_No</f>
        <v>CD-MS-02-L(62)1-XX-006</v>
      </c>
      <c r="D7" s="283"/>
      <c r="E7" s="283"/>
      <c r="F7" s="283"/>
      <c r="G7" s="283"/>
      <c r="I7" s="33" t="s">
        <v>33</v>
      </c>
      <c r="J7" s="317"/>
      <c r="K7" s="318"/>
      <c r="L7" s="31" t="str">
        <f t="shared" si="0"/>
        <v>Drawing Nº:</v>
      </c>
      <c r="N7" s="316" t="str">
        <f>Drawing_No</f>
        <v>CD-MS-02-L(62)1-XX-006</v>
      </c>
      <c r="O7" s="283"/>
      <c r="P7" s="283"/>
      <c r="Q7" s="283"/>
      <c r="T7" s="33" t="str">
        <f>I7</f>
        <v>Checked By:</v>
      </c>
      <c r="U7" s="317">
        <f>J7</f>
        <v>0</v>
      </c>
      <c r="V7" s="318"/>
      <c r="AD7" s="22" t="s">
        <v>39</v>
      </c>
      <c r="AF7" s="40"/>
      <c r="AG7" s="41"/>
      <c r="AH7" s="34"/>
      <c r="AI7" s="55"/>
      <c r="AJ7" s="55"/>
      <c r="AK7" s="55"/>
      <c r="AL7" s="5"/>
      <c r="AM7" s="48"/>
      <c r="AN7" s="49" t="s">
        <v>40</v>
      </c>
      <c r="AO7" s="48"/>
      <c r="AP7" s="50" t="s">
        <v>21</v>
      </c>
      <c r="AQ7" s="51">
        <v>4.8</v>
      </c>
      <c r="AR7" s="51">
        <v>4.5999999999999996</v>
      </c>
      <c r="AS7" s="51"/>
      <c r="AT7" s="51"/>
      <c r="AU7" s="51">
        <v>5.33</v>
      </c>
      <c r="AV7" s="51"/>
      <c r="AW7" s="51">
        <v>4.5999999999999996</v>
      </c>
      <c r="AX7" s="51"/>
      <c r="AY7" s="51"/>
      <c r="AZ7" s="52"/>
      <c r="BA7" s="5"/>
      <c r="BB7" s="48"/>
      <c r="BC7" s="49" t="s">
        <v>40</v>
      </c>
      <c r="BD7" s="48"/>
      <c r="BE7" s="50" t="s">
        <v>21</v>
      </c>
      <c r="BF7" s="51">
        <v>4.8</v>
      </c>
      <c r="BG7" s="51">
        <v>4.5999999999999996</v>
      </c>
      <c r="BH7" s="51"/>
      <c r="BI7" s="51"/>
      <c r="BJ7" s="51">
        <v>4.8</v>
      </c>
      <c r="BK7" s="51"/>
      <c r="BL7" s="51">
        <v>4.5999999999999996</v>
      </c>
      <c r="BM7" s="51"/>
      <c r="BN7" s="51"/>
      <c r="BO7" s="52"/>
    </row>
    <row r="8" spans="1:67" s="22" customFormat="1" ht="13.15" customHeight="1">
      <c r="A8" s="31" t="s">
        <v>17</v>
      </c>
      <c r="B8" s="7"/>
      <c r="C8" s="301" t="str">
        <f>Service</f>
        <v>Lighting</v>
      </c>
      <c r="D8" s="302"/>
      <c r="E8" s="302"/>
      <c r="F8" s="283"/>
      <c r="G8" s="283"/>
      <c r="J8" s="303" t="s">
        <v>242</v>
      </c>
      <c r="K8" s="304"/>
      <c r="L8" s="31" t="str">
        <f t="shared" si="0"/>
        <v>Service:</v>
      </c>
      <c r="M8" s="7"/>
      <c r="N8" s="301" t="str">
        <f>Service</f>
        <v>Lighting</v>
      </c>
      <c r="O8" s="302"/>
      <c r="P8" s="302"/>
      <c r="Q8" s="19"/>
      <c r="U8" s="303" t="str">
        <f>J8</f>
        <v>UCVD May 2010 V4.3</v>
      </c>
      <c r="V8" s="304"/>
      <c r="AB8" s="17"/>
      <c r="AE8" s="21"/>
      <c r="AF8" s="40"/>
      <c r="AG8" s="41"/>
      <c r="AH8" s="53" t="s">
        <v>41</v>
      </c>
      <c r="AI8" s="54">
        <f>IF(homerun_csa=1.5,32,IF(homerun_csa=2.5,19,IF(homerun_csa=4,12,IF(homerun_csa=6,7.8,"ERR"))))</f>
        <v>12</v>
      </c>
      <c r="AJ8" s="54">
        <f>IF(extender_csa=2.5,18,"ERR")</f>
        <v>18</v>
      </c>
      <c r="AK8" s="54">
        <f>IF(SD_csa=1.5,32,IF(SD_csa=2.5,19,"ERR"))</f>
        <v>32</v>
      </c>
      <c r="AL8" s="5"/>
      <c r="AM8" s="48"/>
      <c r="AN8" s="49" t="s">
        <v>29</v>
      </c>
      <c r="AO8" s="48"/>
      <c r="AP8" s="50" t="s">
        <v>30</v>
      </c>
      <c r="AQ8" s="51">
        <v>2.4</v>
      </c>
      <c r="AR8" s="51">
        <v>2.2000000000000002</v>
      </c>
      <c r="AS8" s="51"/>
      <c r="AT8" s="51"/>
      <c r="AU8" s="51">
        <v>5.33</v>
      </c>
      <c r="AV8" s="51"/>
      <c r="AW8" s="51">
        <v>2.95</v>
      </c>
      <c r="AX8" s="51"/>
      <c r="AY8" s="51"/>
      <c r="AZ8" s="52"/>
      <c r="BA8" s="5"/>
      <c r="BB8" s="48"/>
      <c r="BC8" s="49" t="s">
        <v>29</v>
      </c>
      <c r="BD8" s="48"/>
      <c r="BE8" s="50" t="s">
        <v>30</v>
      </c>
      <c r="BF8" s="51">
        <v>2.4</v>
      </c>
      <c r="BG8" s="51">
        <v>2.2000000000000002</v>
      </c>
      <c r="BH8" s="51"/>
      <c r="BI8" s="51"/>
      <c r="BJ8" s="51">
        <v>2.4</v>
      </c>
      <c r="BK8" s="51"/>
      <c r="BL8" s="51">
        <v>2.2999999999999998</v>
      </c>
      <c r="BM8" s="51"/>
      <c r="BN8" s="51"/>
      <c r="BO8" s="52"/>
    </row>
    <row r="9" spans="1:67" s="7" customFormat="1" ht="13.15" customHeight="1">
      <c r="X9" s="9"/>
      <c r="AD9" s="22"/>
      <c r="AH9" s="34"/>
      <c r="AI9" s="55"/>
      <c r="AJ9" s="55"/>
      <c r="AK9" s="55"/>
      <c r="AL9" s="5"/>
      <c r="AM9" s="48"/>
      <c r="AN9" s="49" t="s">
        <v>29</v>
      </c>
      <c r="AO9" s="48"/>
      <c r="AP9" s="50" t="s">
        <v>36</v>
      </c>
      <c r="AQ9" s="51">
        <v>1.2</v>
      </c>
      <c r="AR9" s="51">
        <v>1.6</v>
      </c>
      <c r="AS9" s="51"/>
      <c r="AT9" s="51"/>
      <c r="AU9" s="51">
        <v>5.33</v>
      </c>
      <c r="AV9" s="51"/>
      <c r="AW9" s="51">
        <v>2.95</v>
      </c>
      <c r="AX9" s="51"/>
      <c r="AY9" s="51"/>
      <c r="AZ9" s="52"/>
      <c r="BA9" s="5"/>
      <c r="BB9" s="48"/>
      <c r="BC9" s="49" t="s">
        <v>29</v>
      </c>
      <c r="BD9" s="48"/>
      <c r="BE9" s="50" t="s">
        <v>36</v>
      </c>
      <c r="BF9" s="51">
        <v>1.2</v>
      </c>
      <c r="BG9" s="51">
        <v>1.6</v>
      </c>
      <c r="BH9" s="51"/>
      <c r="BI9" s="51"/>
      <c r="BJ9" s="51">
        <v>1.2</v>
      </c>
      <c r="BK9" s="51"/>
      <c r="BL9" s="51">
        <v>1.64</v>
      </c>
      <c r="BM9" s="51"/>
      <c r="BN9" s="51"/>
      <c r="BO9" s="52"/>
    </row>
    <row r="10" spans="1:67" ht="13.15" customHeight="1">
      <c r="A10" s="18" t="s">
        <v>23</v>
      </c>
      <c r="C10" s="305">
        <f>DB_Ref</f>
        <v>2</v>
      </c>
      <c r="D10" s="306"/>
      <c r="E10" s="286"/>
      <c r="L10" s="18" t="str">
        <f>A10</f>
        <v>DB Ref:</v>
      </c>
      <c r="M10" s="57"/>
      <c r="N10" s="307">
        <f>C10</f>
        <v>2</v>
      </c>
      <c r="O10" s="308"/>
      <c r="P10" s="309"/>
      <c r="Q10" s="56"/>
      <c r="R10" s="57"/>
      <c r="U10" s="57"/>
      <c r="V10" s="57"/>
      <c r="AD10" s="22"/>
      <c r="AH10" s="53" t="s">
        <v>48</v>
      </c>
      <c r="AI10" s="54">
        <f>IF(homerun_csa=1.5,13.3,IF(homerun_csa=2.5,7.98,IF(homerun_csa=4,4.95,IF(homerun_csa=6,3.3,"ERR"))))</f>
        <v>4.95</v>
      </c>
      <c r="AJ10" s="61">
        <f>IF(extender_csa=1.5,13.3,IF(extender_csa=2.5,7.98,IF(extender_csa=4,5.6,"ERR")))</f>
        <v>7.98</v>
      </c>
      <c r="AK10" s="61">
        <f>IF(SD_csa=1.5,13.3,IF(SD_csa=2.5,7.98,"ERR"))</f>
        <v>13.3</v>
      </c>
      <c r="AL10" s="5"/>
      <c r="AM10" s="62"/>
      <c r="AN10" s="63" t="s">
        <v>49</v>
      </c>
      <c r="AO10" s="62"/>
      <c r="AP10" s="64" t="s">
        <v>21</v>
      </c>
      <c r="AQ10" s="65">
        <v>3</v>
      </c>
      <c r="AR10" s="65">
        <v>2.9</v>
      </c>
      <c r="AS10" s="65"/>
      <c r="AT10" s="65"/>
      <c r="AU10" s="65">
        <v>3.33</v>
      </c>
      <c r="AV10" s="65"/>
      <c r="AW10" s="65">
        <v>2.88</v>
      </c>
      <c r="AX10" s="65"/>
      <c r="AY10" s="65"/>
      <c r="AZ10" s="66"/>
      <c r="BA10" s="5"/>
      <c r="BB10" s="62"/>
      <c r="BC10" s="63" t="s">
        <v>49</v>
      </c>
      <c r="BD10" s="62"/>
      <c r="BE10" s="64" t="s">
        <v>21</v>
      </c>
      <c r="BF10" s="65">
        <v>3</v>
      </c>
      <c r="BG10" s="65">
        <v>2.9</v>
      </c>
      <c r="BH10" s="65"/>
      <c r="BI10" s="65"/>
      <c r="BJ10" s="65">
        <v>3</v>
      </c>
      <c r="BK10" s="65"/>
      <c r="BL10" s="65">
        <v>2.88</v>
      </c>
      <c r="BM10" s="65"/>
      <c r="BN10" s="65"/>
      <c r="BO10" s="66"/>
    </row>
    <row r="11" spans="1:67" ht="13.15" customHeight="1">
      <c r="A11" s="18"/>
      <c r="C11" s="271"/>
      <c r="D11" s="272"/>
      <c r="E11" s="270"/>
      <c r="L11" s="18">
        <f>A11</f>
        <v>0</v>
      </c>
      <c r="M11" s="57"/>
      <c r="N11" s="307">
        <f>C11</f>
        <v>0</v>
      </c>
      <c r="O11" s="308"/>
      <c r="P11" s="309"/>
      <c r="Q11" s="56"/>
      <c r="R11" s="57"/>
      <c r="U11" s="57"/>
      <c r="V11" s="57"/>
      <c r="AI11" s="55"/>
      <c r="AJ11" s="55"/>
      <c r="AK11" s="55"/>
      <c r="AL11" s="5"/>
      <c r="AM11" s="48"/>
      <c r="AN11" s="49" t="s">
        <v>29</v>
      </c>
      <c r="AO11" s="48"/>
      <c r="AP11" s="50" t="s">
        <v>30</v>
      </c>
      <c r="AQ11" s="51">
        <v>1.5</v>
      </c>
      <c r="AR11" s="51">
        <v>1.4</v>
      </c>
      <c r="AS11" s="65"/>
      <c r="AT11" s="51"/>
      <c r="AU11" s="65">
        <v>3.33</v>
      </c>
      <c r="AV11" s="51"/>
      <c r="AW11" s="65">
        <v>1.84</v>
      </c>
      <c r="AX11" s="51"/>
      <c r="AY11" s="65"/>
      <c r="AZ11" s="52"/>
      <c r="BA11" s="5"/>
      <c r="BB11" s="48"/>
      <c r="BC11" s="49" t="s">
        <v>29</v>
      </c>
      <c r="BD11" s="48"/>
      <c r="BE11" s="50" t="s">
        <v>30</v>
      </c>
      <c r="BF11" s="51">
        <v>1.5</v>
      </c>
      <c r="BG11" s="51">
        <v>1.4</v>
      </c>
      <c r="BH11" s="65"/>
      <c r="BI11" s="51"/>
      <c r="BJ11" s="65">
        <v>1.5</v>
      </c>
      <c r="BK11" s="51"/>
      <c r="BL11" s="65">
        <v>1.44</v>
      </c>
      <c r="BM11" s="51"/>
      <c r="BN11" s="65"/>
      <c r="BO11" s="52"/>
    </row>
    <row r="12" spans="1:67" ht="13.15" customHeight="1">
      <c r="A12" s="18" t="s">
        <v>38</v>
      </c>
      <c r="C12" s="305" t="str">
        <f ca="1">C10&amp;"|"&amp;MID(CELL("filename",A1),FIND("]",CELL("filename",A1))+1,32)</f>
        <v>2|14L2</v>
      </c>
      <c r="D12" s="306"/>
      <c r="E12" s="286"/>
      <c r="L12" s="18" t="str">
        <f>A12</f>
        <v>Circuit Ref:</v>
      </c>
      <c r="M12" s="57"/>
      <c r="N12" s="305" t="str">
        <f ca="1">C12</f>
        <v>2|14L2</v>
      </c>
      <c r="O12" s="310"/>
      <c r="P12" s="311"/>
      <c r="Q12" s="56"/>
      <c r="R12" s="57"/>
      <c r="U12" s="57"/>
      <c r="V12" s="57"/>
      <c r="AH12" s="34" t="s">
        <v>59</v>
      </c>
      <c r="AI12" s="71">
        <f>homerun_Z1*mdb_CPD_R_Factor</f>
        <v>6.1776</v>
      </c>
      <c r="AJ12" s="71">
        <f>extender_Z1*extender_CPD_R_Factor</f>
        <v>9.9590399999999999</v>
      </c>
      <c r="AK12" s="71">
        <f>SD_Z1*SD_CPD_R_Factor</f>
        <v>16.598400000000002</v>
      </c>
      <c r="AL12" s="5"/>
      <c r="AM12" s="48"/>
      <c r="AN12" s="49" t="s">
        <v>29</v>
      </c>
      <c r="AO12" s="48"/>
      <c r="AP12" s="50" t="s">
        <v>36</v>
      </c>
      <c r="AQ12" s="51">
        <v>0.75</v>
      </c>
      <c r="AR12" s="51">
        <v>1</v>
      </c>
      <c r="AS12" s="65"/>
      <c r="AT12" s="51"/>
      <c r="AU12" s="65">
        <v>3.33</v>
      </c>
      <c r="AV12" s="51"/>
      <c r="AW12" s="65">
        <v>1.84</v>
      </c>
      <c r="AX12" s="51"/>
      <c r="AY12" s="65"/>
      <c r="AZ12" s="52"/>
      <c r="BA12" s="5"/>
      <c r="BB12" s="48"/>
      <c r="BC12" s="49" t="s">
        <v>29</v>
      </c>
      <c r="BD12" s="48"/>
      <c r="BE12" s="50" t="s">
        <v>36</v>
      </c>
      <c r="BF12" s="51">
        <v>0.75</v>
      </c>
      <c r="BG12" s="51">
        <v>1</v>
      </c>
      <c r="BH12" s="65"/>
      <c r="BI12" s="51"/>
      <c r="BJ12" s="65">
        <v>0.75</v>
      </c>
      <c r="BK12" s="51"/>
      <c r="BL12" s="65">
        <v>1.03</v>
      </c>
      <c r="BM12" s="51"/>
      <c r="BN12" s="65"/>
      <c r="BO12" s="52"/>
    </row>
    <row r="13" spans="1:67" s="196" customFormat="1" ht="13.15" customHeight="1">
      <c r="A13" s="55"/>
      <c r="B13" s="57"/>
      <c r="C13" s="55"/>
      <c r="D13" s="56"/>
      <c r="E13" s="55"/>
      <c r="F13" s="56"/>
      <c r="G13" s="57"/>
      <c r="H13" s="55"/>
      <c r="I13" s="55"/>
      <c r="J13" s="57"/>
      <c r="K13" s="57"/>
      <c r="L13" s="55"/>
      <c r="M13" s="57"/>
      <c r="N13" s="55"/>
      <c r="O13" s="56"/>
      <c r="P13" s="55"/>
      <c r="Q13" s="56"/>
      <c r="R13" s="57"/>
      <c r="S13" s="55"/>
      <c r="T13" s="55"/>
      <c r="U13" s="57"/>
      <c r="V13" s="57"/>
      <c r="AD13" s="197"/>
      <c r="AE13" s="197"/>
      <c r="AF13" s="198"/>
      <c r="AG13" s="198"/>
      <c r="AH13" s="199" t="s">
        <v>65</v>
      </c>
      <c r="AI13" s="200">
        <f>Homerun_ZinstPH</f>
        <v>6.1776</v>
      </c>
      <c r="AJ13" s="200">
        <f>Extender_ZinstPH</f>
        <v>9.9590399999999999</v>
      </c>
      <c r="AK13" s="200">
        <f>SD_ZinstPH</f>
        <v>16.598400000000002</v>
      </c>
      <c r="AL13" s="201"/>
      <c r="AM13" s="202"/>
      <c r="AN13" s="203" t="s">
        <v>66</v>
      </c>
      <c r="AO13" s="202"/>
      <c r="AP13" s="204" t="s">
        <v>21</v>
      </c>
      <c r="AQ13" s="205">
        <v>2.4</v>
      </c>
      <c r="AR13" s="205">
        <v>2.2999999999999998</v>
      </c>
      <c r="AS13" s="205"/>
      <c r="AT13" s="205"/>
      <c r="AU13" s="205">
        <v>2.66</v>
      </c>
      <c r="AV13" s="205"/>
      <c r="AW13" s="205">
        <v>2.2999999999999998</v>
      </c>
      <c r="AX13" s="205"/>
      <c r="AY13" s="205"/>
      <c r="AZ13" s="206"/>
      <c r="BA13" s="201"/>
      <c r="BB13" s="202"/>
      <c r="BC13" s="203" t="s">
        <v>66</v>
      </c>
      <c r="BD13" s="202"/>
      <c r="BE13" s="204" t="s">
        <v>21</v>
      </c>
      <c r="BF13" s="205">
        <v>2.4</v>
      </c>
      <c r="BG13" s="205">
        <v>2.2999999999999998</v>
      </c>
      <c r="BH13" s="205"/>
      <c r="BI13" s="205"/>
      <c r="BJ13" s="205">
        <v>2.4</v>
      </c>
      <c r="BK13" s="205"/>
      <c r="BL13" s="205">
        <v>2.2999999999999998</v>
      </c>
      <c r="BM13" s="205"/>
      <c r="BN13" s="205"/>
      <c r="BO13" s="206"/>
    </row>
    <row r="14" spans="1:67" ht="13.15" customHeight="1">
      <c r="A14" s="30" t="s">
        <v>190</v>
      </c>
      <c r="B14" s="56"/>
      <c r="C14" s="57"/>
      <c r="D14" s="55"/>
      <c r="G14" s="30" t="s">
        <v>252</v>
      </c>
      <c r="I14" s="57"/>
      <c r="J14" s="96"/>
      <c r="K14" s="72"/>
      <c r="L14" s="30" t="s">
        <v>158</v>
      </c>
      <c r="M14" s="57"/>
      <c r="O14" s="56"/>
      <c r="Q14" s="56"/>
      <c r="R14" s="57"/>
      <c r="U14" s="57"/>
      <c r="V14" s="57"/>
      <c r="AL14" s="5"/>
      <c r="AM14" s="48"/>
      <c r="AN14" s="49" t="s">
        <v>29</v>
      </c>
      <c r="AO14" s="48"/>
      <c r="AP14" s="50" t="s">
        <v>30</v>
      </c>
      <c r="AQ14" s="51">
        <v>1.2</v>
      </c>
      <c r="AR14" s="51">
        <v>1.2</v>
      </c>
      <c r="AS14" s="51"/>
      <c r="AT14" s="51"/>
      <c r="AU14" s="51">
        <v>2.66</v>
      </c>
      <c r="AV14" s="51"/>
      <c r="AW14" s="51">
        <v>1.47</v>
      </c>
      <c r="AX14" s="51"/>
      <c r="AY14" s="51"/>
      <c r="AZ14" s="52"/>
      <c r="BA14" s="5"/>
      <c r="BB14" s="48"/>
      <c r="BC14" s="49" t="s">
        <v>29</v>
      </c>
      <c r="BD14" s="48"/>
      <c r="BE14" s="50" t="s">
        <v>30</v>
      </c>
      <c r="BF14" s="51">
        <v>1.2</v>
      </c>
      <c r="BG14" s="51">
        <v>1.2</v>
      </c>
      <c r="BH14" s="51"/>
      <c r="BI14" s="51"/>
      <c r="BJ14" s="51">
        <v>1.2</v>
      </c>
      <c r="BK14" s="51"/>
      <c r="BL14" s="51">
        <v>1.1499999999999999</v>
      </c>
      <c r="BM14" s="51"/>
      <c r="BN14" s="51"/>
      <c r="BO14" s="52"/>
    </row>
    <row r="15" spans="1:67" ht="13.15" customHeight="1">
      <c r="A15" s="55" t="s">
        <v>45</v>
      </c>
      <c r="B15" s="56"/>
      <c r="D15" s="218">
        <f ca="1">AI46*100</f>
        <v>2.15</v>
      </c>
      <c r="E15" s="58" t="s">
        <v>46</v>
      </c>
      <c r="G15" s="69" t="s">
        <v>93</v>
      </c>
      <c r="I15" s="57"/>
      <c r="J15" s="153">
        <v>12</v>
      </c>
      <c r="K15" s="56"/>
      <c r="M15" s="57"/>
      <c r="O15" s="56"/>
      <c r="Q15" s="56"/>
      <c r="R15" s="57"/>
      <c r="U15" s="57"/>
      <c r="V15" s="57"/>
      <c r="AH15" s="34" t="s">
        <v>74</v>
      </c>
      <c r="AI15" s="55">
        <f>IF(CPD="BS7671",1,AI19)</f>
        <v>1.248</v>
      </c>
      <c r="AJ15" s="55">
        <f>IF(CPD="BS7671",1,AJ19)</f>
        <v>1.248</v>
      </c>
      <c r="AK15" s="55">
        <f>IF(CPD="BS7671",1,AK19)</f>
        <v>1.248</v>
      </c>
      <c r="AL15" s="5"/>
      <c r="AM15" s="48"/>
      <c r="AN15" s="49" t="s">
        <v>29</v>
      </c>
      <c r="AO15" s="48"/>
      <c r="AP15" s="50" t="s">
        <v>36</v>
      </c>
      <c r="AQ15" s="51">
        <v>0.6</v>
      </c>
      <c r="AR15" s="51">
        <v>0.8</v>
      </c>
      <c r="AS15" s="51"/>
      <c r="AT15" s="51"/>
      <c r="AU15" s="51">
        <v>2.66</v>
      </c>
      <c r="AV15" s="51"/>
      <c r="AW15" s="51">
        <v>1.47</v>
      </c>
      <c r="AX15" s="51"/>
      <c r="AY15" s="51"/>
      <c r="AZ15" s="52"/>
      <c r="BA15" s="5"/>
      <c r="BB15" s="48"/>
      <c r="BC15" s="49" t="s">
        <v>29</v>
      </c>
      <c r="BD15" s="48"/>
      <c r="BE15" s="50" t="s">
        <v>36</v>
      </c>
      <c r="BF15" s="51">
        <v>0.6</v>
      </c>
      <c r="BG15" s="51">
        <v>0.8</v>
      </c>
      <c r="BH15" s="51"/>
      <c r="BI15" s="51"/>
      <c r="BJ15" s="51">
        <v>0.6</v>
      </c>
      <c r="BK15" s="51"/>
      <c r="BL15" s="51">
        <v>0.82</v>
      </c>
      <c r="BM15" s="51"/>
      <c r="BN15" s="51"/>
      <c r="BO15" s="52"/>
    </row>
    <row r="16" spans="1:67" ht="13.15" customHeight="1">
      <c r="A16" s="55" t="s">
        <v>52</v>
      </c>
      <c r="B16" s="56"/>
      <c r="D16" s="219">
        <f ca="1">Source_Nominal_V-'14L2'!AI47</f>
        <v>225.05500000000001</v>
      </c>
      <c r="E16" s="56" t="s">
        <v>44</v>
      </c>
      <c r="G16" s="55" t="s">
        <v>96</v>
      </c>
      <c r="J16" s="154">
        <v>4</v>
      </c>
      <c r="K16" s="55" t="s">
        <v>97</v>
      </c>
      <c r="L16" s="73" t="s">
        <v>68</v>
      </c>
      <c r="M16" s="73" t="s">
        <v>68</v>
      </c>
      <c r="N16" s="74" t="s">
        <v>69</v>
      </c>
      <c r="O16" s="312" t="s">
        <v>70</v>
      </c>
      <c r="P16" s="313"/>
      <c r="Q16" s="280"/>
      <c r="R16" s="49" t="s">
        <v>71</v>
      </c>
      <c r="S16" s="74"/>
      <c r="T16" s="75" t="s">
        <v>72</v>
      </c>
      <c r="U16" s="75" t="s">
        <v>73</v>
      </c>
      <c r="V16" s="57"/>
      <c r="AL16" s="5"/>
      <c r="AM16" s="48"/>
      <c r="AN16" s="49" t="s">
        <v>83</v>
      </c>
      <c r="AO16" s="48"/>
      <c r="AP16" s="50" t="s">
        <v>21</v>
      </c>
      <c r="AQ16" s="51">
        <v>1.8</v>
      </c>
      <c r="AR16" s="51">
        <v>1.8</v>
      </c>
      <c r="AS16" s="51"/>
      <c r="AT16" s="51"/>
      <c r="AU16" s="51">
        <v>2.14</v>
      </c>
      <c r="AV16" s="51"/>
      <c r="AW16" s="51">
        <v>1.84</v>
      </c>
      <c r="AX16" s="51"/>
      <c r="AY16" s="51"/>
      <c r="AZ16" s="52"/>
      <c r="BA16" s="5"/>
      <c r="BB16" s="48"/>
      <c r="BC16" s="49" t="s">
        <v>83</v>
      </c>
      <c r="BD16" s="48"/>
      <c r="BE16" s="50" t="s">
        <v>21</v>
      </c>
      <c r="BF16" s="51">
        <v>1.8</v>
      </c>
      <c r="BG16" s="51">
        <v>1.8</v>
      </c>
      <c r="BH16" s="51"/>
      <c r="BI16" s="51"/>
      <c r="BJ16" s="51">
        <v>1.92</v>
      </c>
      <c r="BK16" s="51"/>
      <c r="BL16" s="51">
        <v>1.84</v>
      </c>
      <c r="BM16" s="51"/>
      <c r="BN16" s="51"/>
      <c r="BO16" s="52"/>
    </row>
    <row r="17" spans="1:67" ht="13.15" customHeight="1">
      <c r="A17" s="55" t="s">
        <v>55</v>
      </c>
      <c r="D17" s="259">
        <f>Ipsc_Max_DB</f>
        <v>14430</v>
      </c>
      <c r="E17" s="56" t="s">
        <v>56</v>
      </c>
      <c r="G17" s="55" t="s">
        <v>99</v>
      </c>
      <c r="I17" s="57"/>
      <c r="J17" s="155" t="s">
        <v>148</v>
      </c>
      <c r="K17" s="56"/>
      <c r="L17" s="76" t="s">
        <v>76</v>
      </c>
      <c r="M17" s="76" t="s">
        <v>77</v>
      </c>
      <c r="N17" s="77" t="s">
        <v>78</v>
      </c>
      <c r="O17" s="78" t="s">
        <v>79</v>
      </c>
      <c r="P17" s="77" t="s">
        <v>80</v>
      </c>
      <c r="Q17" s="78" t="s">
        <v>79</v>
      </c>
      <c r="R17" s="79" t="s">
        <v>80</v>
      </c>
      <c r="S17" s="80" t="s">
        <v>46</v>
      </c>
      <c r="T17" s="81" t="s">
        <v>157</v>
      </c>
      <c r="U17" s="82" t="s">
        <v>81</v>
      </c>
      <c r="V17" s="57"/>
      <c r="X17" s="83" t="s">
        <v>72</v>
      </c>
      <c r="Y17" s="83" t="s">
        <v>73</v>
      </c>
      <c r="Z17" s="83" t="s">
        <v>82</v>
      </c>
      <c r="AH17" s="34" t="s">
        <v>87</v>
      </c>
      <c r="AI17" s="34">
        <v>1.04</v>
      </c>
      <c r="AJ17" s="34">
        <f>AI17</f>
        <v>1.04</v>
      </c>
      <c r="AK17" s="34">
        <f>AJ17</f>
        <v>1.04</v>
      </c>
      <c r="AL17" s="5"/>
      <c r="AM17" s="48"/>
      <c r="AN17" s="49" t="s">
        <v>29</v>
      </c>
      <c r="AO17" s="48"/>
      <c r="AP17" s="50" t="s">
        <v>30</v>
      </c>
      <c r="AQ17" s="51">
        <v>1</v>
      </c>
      <c r="AR17" s="51">
        <v>0.9</v>
      </c>
      <c r="AS17" s="51"/>
      <c r="AT17" s="51"/>
      <c r="AU17" s="51">
        <v>2.14</v>
      </c>
      <c r="AV17" s="51"/>
      <c r="AW17" s="51">
        <v>1.18</v>
      </c>
      <c r="AX17" s="51"/>
      <c r="AY17" s="51"/>
      <c r="AZ17" s="52"/>
      <c r="BA17" s="5"/>
      <c r="BB17" s="48"/>
      <c r="BC17" s="49" t="s">
        <v>29</v>
      </c>
      <c r="BD17" s="48"/>
      <c r="BE17" s="50" t="s">
        <v>30</v>
      </c>
      <c r="BF17" s="51">
        <v>1</v>
      </c>
      <c r="BG17" s="51">
        <v>0.9</v>
      </c>
      <c r="BH17" s="51"/>
      <c r="BI17" s="51"/>
      <c r="BJ17" s="51">
        <v>0.96</v>
      </c>
      <c r="BK17" s="51"/>
      <c r="BL17" s="51">
        <v>0.92</v>
      </c>
      <c r="BM17" s="51"/>
      <c r="BN17" s="51"/>
      <c r="BO17" s="52"/>
    </row>
    <row r="18" spans="1:67" ht="13.15" customHeight="1">
      <c r="A18" s="55" t="s">
        <v>62</v>
      </c>
      <c r="D18" s="220">
        <f>Zs_DB</f>
        <v>7.3730000000000004E-2</v>
      </c>
      <c r="E18" s="72" t="s">
        <v>63</v>
      </c>
      <c r="G18" s="55" t="s">
        <v>206</v>
      </c>
      <c r="J18" s="55">
        <f>homerun_tp</f>
        <v>70</v>
      </c>
      <c r="K18" s="56" t="s">
        <v>261</v>
      </c>
      <c r="L18" s="225" t="s">
        <v>256</v>
      </c>
      <c r="M18" s="225" t="s">
        <v>86</v>
      </c>
      <c r="N18" s="226">
        <f>D23</f>
        <v>22</v>
      </c>
      <c r="O18" s="227" t="s">
        <v>86</v>
      </c>
      <c r="P18" s="85">
        <f>ROUND((P19),2)</f>
        <v>7.56</v>
      </c>
      <c r="Q18" s="84">
        <f>ROUND((((homerun_Vd)*P18*N18/1000)),4)</f>
        <v>1.9958</v>
      </c>
      <c r="R18" s="86">
        <f>Q18</f>
        <v>1.9958</v>
      </c>
      <c r="S18" s="87">
        <f t="shared" ref="S18:S45" si="3">ROUNDUP((100/nominal_V*R18),2)</f>
        <v>0.87</v>
      </c>
      <c r="T18" s="85">
        <f>ROUND((Ze+((homerun_PELI*N18/1000))),2)</f>
        <v>0.35</v>
      </c>
      <c r="U18" s="88">
        <f>ROUNDUP((nominal_V/((nominal_V/Ipsc)+(((homerun_R20c*mdb_CPD_R_Factor*N18*2)/1000)))),0)</f>
        <v>800</v>
      </c>
      <c r="V18" s="57"/>
      <c r="X18" s="89">
        <f>T18</f>
        <v>0.35</v>
      </c>
      <c r="Y18" s="89">
        <f>U18</f>
        <v>800</v>
      </c>
      <c r="Z18" s="89">
        <f>S18</f>
        <v>0.87</v>
      </c>
      <c r="AH18" s="34" t="s">
        <v>89</v>
      </c>
      <c r="AI18" s="34">
        <f>IF(homerun_tp=70,1.2,IF(homerun_tp=90,1.28,"ERR"))</f>
        <v>1.2</v>
      </c>
      <c r="AJ18" s="34">
        <f>IF(extender_tp,1.2,IF(extender_tp=90,1.28,"ERR"))</f>
        <v>1.2</v>
      </c>
      <c r="AK18" s="34">
        <f>IF(extender_tp,1.2,IF(extender_tp=90,1.28,"ERR"))</f>
        <v>1.2</v>
      </c>
      <c r="AL18" s="5"/>
      <c r="AM18" s="48"/>
      <c r="AN18" s="49" t="s">
        <v>29</v>
      </c>
      <c r="AO18" s="48"/>
      <c r="AP18" s="50" t="s">
        <v>36</v>
      </c>
      <c r="AQ18" s="51">
        <v>0.46</v>
      </c>
      <c r="AR18" s="51">
        <v>0.7</v>
      </c>
      <c r="AS18" s="51"/>
      <c r="AT18" s="51"/>
      <c r="AU18" s="51">
        <v>2.14</v>
      </c>
      <c r="AV18" s="51"/>
      <c r="AW18" s="51">
        <v>1.18</v>
      </c>
      <c r="AX18" s="51"/>
      <c r="AY18" s="51"/>
      <c r="AZ18" s="52"/>
      <c r="BA18" s="5"/>
      <c r="BB18" s="48"/>
      <c r="BC18" s="49" t="s">
        <v>29</v>
      </c>
      <c r="BD18" s="48"/>
      <c r="BE18" s="50" t="s">
        <v>36</v>
      </c>
      <c r="BF18" s="51">
        <v>0.46</v>
      </c>
      <c r="BG18" s="51">
        <v>0.7</v>
      </c>
      <c r="BH18" s="51"/>
      <c r="BI18" s="51"/>
      <c r="BJ18" s="51">
        <v>0.48</v>
      </c>
      <c r="BK18" s="51"/>
      <c r="BL18" s="51">
        <v>0.66</v>
      </c>
      <c r="BM18" s="51"/>
      <c r="BN18" s="51"/>
      <c r="BO18" s="52"/>
    </row>
    <row r="19" spans="1:67" ht="13.15" customHeight="1">
      <c r="D19" s="55"/>
      <c r="E19" s="56"/>
      <c r="G19" s="55" t="s">
        <v>101</v>
      </c>
      <c r="I19" s="57"/>
      <c r="J19" s="55">
        <f>homerun_It1</f>
        <v>34</v>
      </c>
      <c r="K19" s="56" t="s">
        <v>56</v>
      </c>
      <c r="L19" s="243" t="s">
        <v>259</v>
      </c>
      <c r="M19" s="228">
        <v>1</v>
      </c>
      <c r="N19" s="229">
        <v>0</v>
      </c>
      <c r="O19" s="230">
        <f>((Lum_Q*5))/230</f>
        <v>2.3695652173913042</v>
      </c>
      <c r="P19" s="231">
        <f t="shared" ref="P19:P45" si="4">ROUND((P20+O19),2)</f>
        <v>7.56</v>
      </c>
      <c r="Q19" s="90">
        <f>IF(L19="FW",(ROUND((((extender_Vd*P19*N19)/1000)),4)),IF(L19="FL",(ROUND((((SD_Vd*P19*N19)/1000)),4)),0))</f>
        <v>0</v>
      </c>
      <c r="R19" s="91">
        <f t="shared" ref="R19:R45" si="5">IF(M19=0,0,IF(M19&gt;0.5,Q19+R18,err))</f>
        <v>1.9958</v>
      </c>
      <c r="S19" s="87">
        <f t="shared" si="3"/>
        <v>0.87</v>
      </c>
      <c r="T19" s="92">
        <f t="shared" ref="T19:T45" si="6">ROUNDUP((IF(M19=0,0,IF(M19&gt;0.5,(T18+((extender_PELI*N19)/1000))))),2)</f>
        <v>0.35</v>
      </c>
      <c r="U19" s="93">
        <f>IF(M19=0,0,IF(M19&gt;0.5,(nominal_V/((nominal_V/U18)+((extender_R20cPHA*extender_CPD_R_Factor*N19*2)/1000)))))</f>
        <v>800.00000000000011</v>
      </c>
      <c r="V19" s="57"/>
      <c r="X19" s="94">
        <f t="shared" ref="X19:X45" si="7">IF(M19=0,0,IF(M19&gt;0.5,(T19-T18)))</f>
        <v>0</v>
      </c>
      <c r="Y19" s="94">
        <f t="shared" ref="Y19:Y45" si="8">IF(M19=0,0,IF(M19&gt;0.5,(U19-U18)))</f>
        <v>1.1368683772161603E-13</v>
      </c>
      <c r="Z19" s="94">
        <f t="shared" ref="Z19:Z45" si="9">IF(M19=0,0,IF(M19&gt;0.5,(S19-S18)))</f>
        <v>0</v>
      </c>
      <c r="AH19" s="53" t="s">
        <v>91</v>
      </c>
      <c r="AI19" s="95">
        <f>AI17*AI18</f>
        <v>1.248</v>
      </c>
      <c r="AJ19" s="95">
        <f>AJ17*AJ18</f>
        <v>1.248</v>
      </c>
      <c r="AK19" s="95">
        <f>AK17*AK18</f>
        <v>1.248</v>
      </c>
      <c r="AL19" s="5"/>
      <c r="AM19" s="48"/>
      <c r="AN19" s="49" t="s">
        <v>92</v>
      </c>
      <c r="AO19" s="48"/>
      <c r="AP19" s="50" t="s">
        <v>21</v>
      </c>
      <c r="AQ19" s="51">
        <v>1.5</v>
      </c>
      <c r="AR19" s="51">
        <v>1.4</v>
      </c>
      <c r="AS19" s="51"/>
      <c r="AT19" s="51"/>
      <c r="AU19" s="51">
        <v>1.66</v>
      </c>
      <c r="AV19" s="51"/>
      <c r="AW19" s="51">
        <v>1.44</v>
      </c>
      <c r="AX19" s="51"/>
      <c r="AY19" s="51"/>
      <c r="AZ19" s="52"/>
      <c r="BA19" s="5"/>
      <c r="BB19" s="48"/>
      <c r="BC19" s="49" t="s">
        <v>92</v>
      </c>
      <c r="BD19" s="48"/>
      <c r="BE19" s="50" t="s">
        <v>21</v>
      </c>
      <c r="BF19" s="51">
        <v>1.5</v>
      </c>
      <c r="BG19" s="51">
        <v>1.4</v>
      </c>
      <c r="BH19" s="51"/>
      <c r="BI19" s="51"/>
      <c r="BJ19" s="51">
        <v>1.5</v>
      </c>
      <c r="BK19" s="51"/>
      <c r="BL19" s="51">
        <v>1.44</v>
      </c>
      <c r="BM19" s="51"/>
      <c r="BN19" s="51"/>
      <c r="BO19" s="52"/>
    </row>
    <row r="20" spans="1:67" ht="13.15" customHeight="1">
      <c r="G20" s="55" t="s">
        <v>103</v>
      </c>
      <c r="I20" s="57"/>
      <c r="J20" s="55">
        <f>homerun_Vd1</f>
        <v>12</v>
      </c>
      <c r="K20" s="237" t="s">
        <v>104</v>
      </c>
      <c r="L20" s="244" t="s">
        <v>259</v>
      </c>
      <c r="M20" s="228">
        <v>2</v>
      </c>
      <c r="N20" s="229">
        <v>1.7</v>
      </c>
      <c r="O20" s="230">
        <f t="shared" ref="O20:O31" si="10">((Lum_Q*1))/230</f>
        <v>0.47391304347826085</v>
      </c>
      <c r="P20" s="231">
        <f t="shared" si="4"/>
        <v>5.19</v>
      </c>
      <c r="Q20" s="90">
        <f>IF(L20="FW",(ROUND((((extender_Vd*P20*N20)/1000)),4)),IF(L20="FL",(ROUND((((SD_Vd*P20*N20)/1000)),4)),0))</f>
        <v>0.1588</v>
      </c>
      <c r="R20" s="91">
        <f t="shared" si="5"/>
        <v>2.1545999999999998</v>
      </c>
      <c r="S20" s="87">
        <f t="shared" si="3"/>
        <v>0.94000000000000006</v>
      </c>
      <c r="T20" s="92">
        <f t="shared" si="6"/>
        <v>0.39</v>
      </c>
      <c r="U20" s="93">
        <f>IF(M20=0,0,IF(M20&gt;0.5,(nominal_V/((nominal_V/U19)+((extender_R20cPHA*extender_CPD_R_Factor*N20*2)/1000)))))</f>
        <v>715.70660082132747</v>
      </c>
      <c r="V20" s="57"/>
      <c r="X20" s="94">
        <f t="shared" si="7"/>
        <v>4.0000000000000036E-2</v>
      </c>
      <c r="Y20" s="94">
        <f t="shared" si="8"/>
        <v>-84.293399178672644</v>
      </c>
      <c r="Z20" s="94">
        <f t="shared" si="9"/>
        <v>7.0000000000000062E-2</v>
      </c>
      <c r="AI20" s="71"/>
      <c r="AJ20" s="55"/>
      <c r="AK20" s="55"/>
      <c r="AL20" s="5"/>
      <c r="AM20" s="62"/>
      <c r="AN20" s="63" t="s">
        <v>29</v>
      </c>
      <c r="AO20" s="62"/>
      <c r="AP20" s="64" t="s">
        <v>30</v>
      </c>
      <c r="AQ20" s="65">
        <v>0.75</v>
      </c>
      <c r="AR20" s="65">
        <v>0.7</v>
      </c>
      <c r="AS20" s="65"/>
      <c r="AT20" s="65"/>
      <c r="AU20" s="51">
        <v>1.66</v>
      </c>
      <c r="AV20" s="65"/>
      <c r="AW20" s="65">
        <v>0.92</v>
      </c>
      <c r="AX20" s="65"/>
      <c r="AY20" s="51"/>
      <c r="AZ20" s="66"/>
      <c r="BA20" s="5"/>
      <c r="BB20" s="62"/>
      <c r="BC20" s="63" t="s">
        <v>29</v>
      </c>
      <c r="BD20" s="62"/>
      <c r="BE20" s="64" t="s">
        <v>30</v>
      </c>
      <c r="BF20" s="65">
        <v>0.75</v>
      </c>
      <c r="BG20" s="65">
        <v>0.7</v>
      </c>
      <c r="BH20" s="65"/>
      <c r="BI20" s="65"/>
      <c r="BJ20" s="51">
        <v>0.75</v>
      </c>
      <c r="BK20" s="65"/>
      <c r="BL20" s="65">
        <v>0.72</v>
      </c>
      <c r="BM20" s="65"/>
      <c r="BN20" s="51"/>
      <c r="BO20" s="66"/>
    </row>
    <row r="21" spans="1:67" ht="13.15" customHeight="1">
      <c r="A21" s="30" t="s">
        <v>191</v>
      </c>
      <c r="B21" s="2"/>
      <c r="D21" s="7"/>
      <c r="E21" s="31"/>
      <c r="G21" s="55" t="s">
        <v>105</v>
      </c>
      <c r="I21" s="57"/>
      <c r="J21" s="55">
        <f>homerun_Z1</f>
        <v>4.95</v>
      </c>
      <c r="K21" s="238" t="s">
        <v>106</v>
      </c>
      <c r="L21" s="244" t="s">
        <v>259</v>
      </c>
      <c r="M21" s="228">
        <v>3</v>
      </c>
      <c r="N21" s="229">
        <v>3.7</v>
      </c>
      <c r="O21" s="230">
        <f t="shared" si="10"/>
        <v>0.47391304347826085</v>
      </c>
      <c r="P21" s="231">
        <f t="shared" si="4"/>
        <v>4.72</v>
      </c>
      <c r="Q21" s="90">
        <f>IF(L21="FW",(ROUND((((extender_Vd*P21*N21)/1000)),4)),IF(L21="FL",(ROUND((((SD_Vd*P21*N21)/1000)),4)),0))</f>
        <v>0.31440000000000001</v>
      </c>
      <c r="R21" s="91">
        <f t="shared" si="5"/>
        <v>2.4689999999999999</v>
      </c>
      <c r="S21" s="87">
        <f t="shared" si="3"/>
        <v>1.08</v>
      </c>
      <c r="T21" s="92">
        <f t="shared" si="6"/>
        <v>0.47000000000000003</v>
      </c>
      <c r="U21" s="93">
        <f t="shared" ref="U21:U45" si="11">IF(M21=0,0,IF(M21&gt;0.5,(nominal_V/((nominal_V/U20)+((extender_R20cPHA*extender_CPD_R_Factor*N21*2)/1000)))))</f>
        <v>582.19353676478272</v>
      </c>
      <c r="V21" s="57"/>
      <c r="X21" s="94">
        <f t="shared" si="7"/>
        <v>8.0000000000000016E-2</v>
      </c>
      <c r="Y21" s="94">
        <f t="shared" si="8"/>
        <v>-133.51306405654475</v>
      </c>
      <c r="Z21" s="94">
        <f t="shared" si="9"/>
        <v>0.14000000000000001</v>
      </c>
      <c r="AH21" s="42"/>
      <c r="AI21" s="5"/>
      <c r="AJ21" s="5"/>
      <c r="AK21" s="5"/>
      <c r="AL21" s="5"/>
      <c r="AM21" s="48"/>
      <c r="AN21" s="49" t="s">
        <v>29</v>
      </c>
      <c r="AO21" s="48"/>
      <c r="AP21" s="50" t="s">
        <v>36</v>
      </c>
      <c r="AQ21" s="51">
        <v>0.38</v>
      </c>
      <c r="AR21" s="51">
        <v>0.5</v>
      </c>
      <c r="AS21" s="51"/>
      <c r="AT21" s="51"/>
      <c r="AU21" s="51">
        <v>1.66</v>
      </c>
      <c r="AV21" s="51"/>
      <c r="AW21" s="51">
        <v>0.92</v>
      </c>
      <c r="AX21" s="51"/>
      <c r="AY21" s="51"/>
      <c r="AZ21" s="52"/>
      <c r="BA21" s="5"/>
      <c r="BB21" s="48"/>
      <c r="BC21" s="49" t="s">
        <v>29</v>
      </c>
      <c r="BD21" s="48"/>
      <c r="BE21" s="50" t="s">
        <v>36</v>
      </c>
      <c r="BF21" s="51">
        <v>0.38</v>
      </c>
      <c r="BG21" s="51">
        <v>0.5</v>
      </c>
      <c r="BH21" s="51"/>
      <c r="BI21" s="51"/>
      <c r="BJ21" s="51">
        <v>0.37</v>
      </c>
      <c r="BK21" s="51"/>
      <c r="BL21" s="51">
        <v>0.51</v>
      </c>
      <c r="BM21" s="51"/>
      <c r="BN21" s="51"/>
      <c r="BO21" s="52"/>
    </row>
    <row r="22" spans="1:67" ht="13.15" customHeight="1" thickBot="1">
      <c r="A22" s="55" t="s">
        <v>43</v>
      </c>
      <c r="D22" s="221">
        <f>Source_Nominal_V</f>
        <v>230</v>
      </c>
      <c r="E22" s="56" t="s">
        <v>44</v>
      </c>
      <c r="G22" s="55" t="s">
        <v>108</v>
      </c>
      <c r="I22" s="57"/>
      <c r="J22" s="55">
        <f>ROUNDUP((Homerun_ZinstPH+Homerun_ZinstCPC),2)</f>
        <v>12.36</v>
      </c>
      <c r="K22" s="238" t="s">
        <v>106</v>
      </c>
      <c r="L22" s="244" t="s">
        <v>259</v>
      </c>
      <c r="M22" s="228">
        <v>4</v>
      </c>
      <c r="N22" s="229">
        <v>4.2</v>
      </c>
      <c r="O22" s="230">
        <f>((Lum_Q*6))/230</f>
        <v>2.8434782608695652</v>
      </c>
      <c r="P22" s="231">
        <f t="shared" si="4"/>
        <v>4.25</v>
      </c>
      <c r="Q22" s="90">
        <f>IF(L22="FW",(ROUND((((extender_Vd*P22*N22)/1000)),4)),IF(L22="FL",(ROUND((((SD_Vd*P22*N22)/1000)),4)),0))</f>
        <v>0.32129999999999997</v>
      </c>
      <c r="R22" s="91">
        <f t="shared" si="5"/>
        <v>2.7902999999999998</v>
      </c>
      <c r="S22" s="87">
        <f t="shared" si="3"/>
        <v>1.22</v>
      </c>
      <c r="T22" s="92">
        <f t="shared" si="6"/>
        <v>0.56000000000000005</v>
      </c>
      <c r="U22" s="93">
        <f t="shared" si="11"/>
        <v>480.45431626454342</v>
      </c>
      <c r="V22" s="57"/>
      <c r="X22" s="94">
        <f t="shared" si="7"/>
        <v>9.0000000000000024E-2</v>
      </c>
      <c r="Y22" s="94">
        <f t="shared" si="8"/>
        <v>-101.7392205002393</v>
      </c>
      <c r="Z22" s="94">
        <f t="shared" si="9"/>
        <v>0.1399999999999999</v>
      </c>
      <c r="AH22" s="97" t="s">
        <v>94</v>
      </c>
      <c r="AI22" s="54">
        <f>IF(homerun_ins="LSFZH",70,IF(homerun_ins="XL-LSFZH",90,"ERR"))</f>
        <v>70</v>
      </c>
      <c r="AJ22" s="54">
        <f>IF(extender_ins="LSFZH",70,IF(extender_ins="XL-LSFZH",90,"ERR"))</f>
        <v>70</v>
      </c>
      <c r="AK22" s="54">
        <f>IF(extender_ins="LSFZH",70,IF(extender_ins="XL-LSFZH",90,"ERR"))</f>
        <v>70</v>
      </c>
      <c r="AL22" s="56" t="s">
        <v>95</v>
      </c>
      <c r="AM22" s="98"/>
      <c r="AN22" s="98"/>
      <c r="AO22" s="98"/>
      <c r="AP22" s="99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5"/>
      <c r="BB22" s="98"/>
      <c r="BC22" s="98"/>
      <c r="BD22" s="98"/>
      <c r="BE22" s="99"/>
      <c r="BF22" s="100"/>
      <c r="BG22" s="100"/>
      <c r="BH22" s="100"/>
      <c r="BI22" s="100"/>
      <c r="BJ22" s="100"/>
      <c r="BK22" s="100"/>
      <c r="BL22" s="100"/>
      <c r="BM22" s="100"/>
      <c r="BN22" s="100"/>
      <c r="BO22" s="101"/>
    </row>
    <row r="23" spans="1:67" ht="13.15" customHeight="1">
      <c r="A23" s="55" t="s">
        <v>50</v>
      </c>
      <c r="B23" s="67"/>
      <c r="D23" s="222">
        <v>22</v>
      </c>
      <c r="E23" s="56" t="s">
        <v>51</v>
      </c>
      <c r="G23" s="55" t="s">
        <v>64</v>
      </c>
      <c r="I23" s="57"/>
      <c r="J23" s="110">
        <f>AQ58</f>
        <v>800</v>
      </c>
      <c r="K23" s="237" t="s">
        <v>56</v>
      </c>
      <c r="L23" s="244" t="s">
        <v>259</v>
      </c>
      <c r="M23" s="228">
        <v>5</v>
      </c>
      <c r="N23" s="229">
        <v>6.2</v>
      </c>
      <c r="O23" s="230">
        <f t="shared" si="10"/>
        <v>0.47391304347826085</v>
      </c>
      <c r="P23" s="231">
        <f t="shared" si="4"/>
        <v>1.41</v>
      </c>
      <c r="Q23" s="90">
        <f>IF(L23="FW",(ROUND((((extender_Vd*P23*N23)/1000)),4)),IF(L23="FL",(ROUND((((SD_Vd*P23*N23)/1000)),4)),0))</f>
        <v>0.15740000000000001</v>
      </c>
      <c r="R23" s="91">
        <f t="shared" si="5"/>
        <v>2.9476999999999998</v>
      </c>
      <c r="S23" s="87">
        <f t="shared" si="3"/>
        <v>1.29</v>
      </c>
      <c r="T23" s="92">
        <f t="shared" si="6"/>
        <v>0.69000000000000006</v>
      </c>
      <c r="U23" s="93">
        <f t="shared" si="11"/>
        <v>381.92932041236998</v>
      </c>
      <c r="V23" s="57"/>
      <c r="X23" s="94">
        <f t="shared" si="7"/>
        <v>0.13</v>
      </c>
      <c r="Y23" s="94">
        <f t="shared" si="8"/>
        <v>-98.524995852173447</v>
      </c>
      <c r="Z23" s="94">
        <f t="shared" si="9"/>
        <v>7.0000000000000062E-2</v>
      </c>
      <c r="AH23" s="97" t="s">
        <v>98</v>
      </c>
      <c r="AI23" s="54">
        <f>IF(homerun_ins="LSFZH",160,IF(homerun_ins="XL-LSFZH",250,"ERR"))</f>
        <v>160</v>
      </c>
      <c r="AJ23" s="54">
        <f>IF(extender_ins="LSFZH",160,IF(extender_ins="XL-LSFZH",250,"ERR"))</f>
        <v>160</v>
      </c>
      <c r="AK23" s="54">
        <f>IF(extender_ins="LSFZH",160,IF(extender_ins="XL-LSFZH",250,"ERR"))</f>
        <v>160</v>
      </c>
      <c r="AL23" s="56" t="s">
        <v>95</v>
      </c>
      <c r="BA23" s="5"/>
      <c r="BB23" s="5"/>
    </row>
    <row r="24" spans="1:67" ht="13.15" customHeight="1">
      <c r="A24" s="69" t="s">
        <v>54</v>
      </c>
      <c r="B24" s="69"/>
      <c r="D24" s="70">
        <f ca="1">(Max_VD_percent*100)-VD_Source</f>
        <v>1.85</v>
      </c>
      <c r="E24" s="58" t="s">
        <v>46</v>
      </c>
      <c r="G24" s="55" t="s">
        <v>110</v>
      </c>
      <c r="I24" s="57"/>
      <c r="J24" s="110">
        <f>AQ76</f>
        <v>2100</v>
      </c>
      <c r="K24" s="237"/>
      <c r="L24" s="244" t="s">
        <v>259</v>
      </c>
      <c r="M24" s="228">
        <v>6</v>
      </c>
      <c r="N24" s="229">
        <v>3.7</v>
      </c>
      <c r="O24" s="230">
        <f t="shared" si="10"/>
        <v>0.47391304347826085</v>
      </c>
      <c r="P24" s="231">
        <f t="shared" si="4"/>
        <v>0.94</v>
      </c>
      <c r="Q24" s="90">
        <f>IF(L24="FW",(ROUND((((extender_Vd*P24*N24)/1000)),4)),IF(L24="FL",(ROUND((((SD_Vd*P24*N24)/1000)),4)),0))</f>
        <v>6.2600000000000003E-2</v>
      </c>
      <c r="R24" s="91">
        <f t="shared" si="5"/>
        <v>3.0103</v>
      </c>
      <c r="S24" s="87">
        <f t="shared" si="3"/>
        <v>1.31</v>
      </c>
      <c r="T24" s="92">
        <f t="shared" si="6"/>
        <v>0.77</v>
      </c>
      <c r="U24" s="93">
        <f t="shared" si="11"/>
        <v>340.28573586109815</v>
      </c>
      <c r="V24" s="57"/>
      <c r="X24" s="94">
        <f t="shared" si="7"/>
        <v>7.999999999999996E-2</v>
      </c>
      <c r="Y24" s="94">
        <f t="shared" si="8"/>
        <v>-41.643584551271829</v>
      </c>
      <c r="Z24" s="94">
        <f t="shared" si="9"/>
        <v>2.0000000000000018E-2</v>
      </c>
      <c r="AM24" s="19"/>
      <c r="AN24" s="19"/>
      <c r="AO24" s="19"/>
      <c r="AP24" s="17"/>
      <c r="BA24" s="5"/>
      <c r="BB24" s="5"/>
      <c r="BC24" s="71"/>
    </row>
    <row r="25" spans="1:67" ht="13.15" customHeight="1">
      <c r="A25" s="55" t="s">
        <v>60</v>
      </c>
      <c r="D25" s="217">
        <f>IF(C8="Power",0.4,IF(C8="Lighting",0.4,"err"))</f>
        <v>0.4</v>
      </c>
      <c r="E25" s="56" t="s">
        <v>61</v>
      </c>
      <c r="G25" s="55" t="s">
        <v>111</v>
      </c>
      <c r="I25" s="57"/>
      <c r="J25" s="110">
        <f>143^2*homerun_csa^2</f>
        <v>327184</v>
      </c>
      <c r="K25" s="237"/>
      <c r="L25" s="244" t="s">
        <v>259</v>
      </c>
      <c r="M25" s="228">
        <v>7</v>
      </c>
      <c r="N25" s="229">
        <v>3.7</v>
      </c>
      <c r="O25" s="230"/>
      <c r="P25" s="231">
        <f t="shared" si="4"/>
        <v>0.47</v>
      </c>
      <c r="Q25" s="90">
        <f>IF(L25="FW",(ROUND((((extender_Vd*P25*N25)/1000)),4)),IF(L25="FL",(ROUND((((SD_Vd*P25*N25)/1000)),4)),0))</f>
        <v>3.1300000000000001E-2</v>
      </c>
      <c r="R25" s="91">
        <f t="shared" si="5"/>
        <v>3.0415999999999999</v>
      </c>
      <c r="S25" s="87">
        <f t="shared" si="3"/>
        <v>1.33</v>
      </c>
      <c r="T25" s="92">
        <f t="shared" si="6"/>
        <v>0.85</v>
      </c>
      <c r="U25" s="93">
        <f t="shared" si="11"/>
        <v>306.83053217157089</v>
      </c>
      <c r="V25" s="57"/>
      <c r="X25" s="94">
        <f t="shared" si="7"/>
        <v>7.999999999999996E-2</v>
      </c>
      <c r="Y25" s="94">
        <f t="shared" si="8"/>
        <v>-33.455203689527252</v>
      </c>
      <c r="Z25" s="94">
        <f t="shared" si="9"/>
        <v>2.0000000000000018E-2</v>
      </c>
      <c r="AH25" s="53" t="s">
        <v>102</v>
      </c>
      <c r="AI25" s="106">
        <f>IF(ccts_mdb=1,1,IF(ccts_mdb=2,0.86,IF(ccts_mdb=3,0.81,IF(ccts_mdb=4,0.77,IF(ccts_mdb=5,0.75,IF(ccts_mdb=6,0.74,IF(ccts_mdb=7,0.73,IF(ccts_mdb=8,0.73,0))))))))</f>
        <v>0</v>
      </c>
      <c r="AJ25" s="106">
        <f>IF(ccts_extender=1,1,IF(ccts_extender=2,0.86,IF(ccts_extender=3,0.81,IF(ccts_extender=4,0.77,IF(ccts_extender=5,0.75,IF(ccts_extender=6,0.74,IF(ccts_extender=7,0.73,IF(ccts_extender=8,0.73,0))))))))</f>
        <v>1</v>
      </c>
      <c r="AK25" s="106">
        <f>IF(ccts_SD=1,1,IF(ccts_SD=2,0.86,IF(ccts_SD=3,0.81,IF(ccts_SD=4,0.77,IF(ccts_SD=5,0.75,IF(ccts_SD=6,0.74,IF(ccts_SD=7,0.73,IF(ccts_SD=8,0.73,0))))))))</f>
        <v>1</v>
      </c>
      <c r="AM25" s="19"/>
      <c r="AN25" s="19"/>
      <c r="AO25" s="19"/>
      <c r="AP25" s="107"/>
      <c r="BA25" s="5"/>
      <c r="BB25" s="5"/>
    </row>
    <row r="26" spans="1:67" ht="13.15" customHeight="1">
      <c r="G26" s="54" t="s">
        <v>113</v>
      </c>
      <c r="I26" s="57"/>
      <c r="J26" s="113" t="str">
        <f>AI41</f>
        <v>ü</v>
      </c>
      <c r="K26" s="237"/>
      <c r="L26" s="244" t="s">
        <v>260</v>
      </c>
      <c r="M26" s="228">
        <v>8</v>
      </c>
      <c r="N26" s="229">
        <v>1</v>
      </c>
      <c r="O26" s="230">
        <f t="shared" si="10"/>
        <v>0.47391304347826085</v>
      </c>
      <c r="P26" s="231">
        <f t="shared" si="4"/>
        <v>0.47</v>
      </c>
      <c r="Q26" s="90">
        <f>IF(L26="FW",(ROUND((((extender_Vd*P26*N26)/1000)),4)),IF(L26="FL",(ROUND((((SD_Vd*P26*N26)/1000)),4)),0))</f>
        <v>1.4999999999999999E-2</v>
      </c>
      <c r="R26" s="91">
        <f t="shared" si="5"/>
        <v>3.0566</v>
      </c>
      <c r="S26" s="87">
        <f t="shared" si="3"/>
        <v>1.33</v>
      </c>
      <c r="T26" s="92">
        <f t="shared" si="6"/>
        <v>0.87</v>
      </c>
      <c r="U26" s="93">
        <f t="shared" si="11"/>
        <v>298.88857529557333</v>
      </c>
      <c r="V26" s="57"/>
      <c r="X26" s="94">
        <f t="shared" si="7"/>
        <v>2.0000000000000018E-2</v>
      </c>
      <c r="Y26" s="94">
        <f t="shared" si="8"/>
        <v>-7.9419568759975618</v>
      </c>
      <c r="Z26" s="94">
        <f t="shared" si="9"/>
        <v>0</v>
      </c>
      <c r="AI26" s="11">
        <f>IF(ccts_mdb=9,0.72,IF(ccts_mdb=10,0.71,IF(ccts_mdb=11,0.7,IF(ccts_mdb=12,0.7,IF(ccts_mdb&gt;12,0.7,0)))))</f>
        <v>0.7</v>
      </c>
      <c r="AJ26" s="11">
        <f>IF(ccts_extender=9,0.72,IF(ccts_extender=10,0.71,IF(ccts_extender=11,0.7,IF(ccts_extender=12,0.7,IF(ccts_extender&gt;12,0.7,0)))))</f>
        <v>0</v>
      </c>
      <c r="AK26" s="11">
        <f>IF(ccts_extender=9,0.72,IF(ccts_extender=10,0.71,IF(ccts_extender=11,0.7,IF(ccts_extender=12,0.7,IF(ccts_extender&gt;12,0.7,0)))))</f>
        <v>0</v>
      </c>
      <c r="AL26" s="56"/>
      <c r="AM26" s="18"/>
      <c r="AN26" s="18"/>
      <c r="AO26" s="18"/>
      <c r="AP26" s="108"/>
      <c r="AQ26" s="109"/>
      <c r="BA26" s="5"/>
      <c r="BB26" s="5"/>
    </row>
    <row r="27" spans="1:67" ht="13.15" customHeight="1">
      <c r="G27" s="7"/>
      <c r="I27" s="7"/>
      <c r="J27" s="7"/>
      <c r="K27" s="239"/>
      <c r="L27" s="244"/>
      <c r="M27" s="228"/>
      <c r="N27" s="229"/>
      <c r="O27" s="230"/>
      <c r="P27" s="231">
        <f t="shared" si="4"/>
        <v>0</v>
      </c>
      <c r="Q27" s="90">
        <f>IF(L27="FW",(ROUND((((extender_Vd*P27*N27)/1000)),4)),IF(L27="FL",(ROUND((((SD_Vd*P27*N27)/1000)),4)),0))</f>
        <v>0</v>
      </c>
      <c r="R27" s="91">
        <f t="shared" si="5"/>
        <v>0</v>
      </c>
      <c r="S27" s="87">
        <f t="shared" si="3"/>
        <v>0</v>
      </c>
      <c r="T27" s="92">
        <f t="shared" si="6"/>
        <v>0</v>
      </c>
      <c r="U27" s="93">
        <f t="shared" si="11"/>
        <v>0</v>
      </c>
      <c r="V27" s="57"/>
      <c r="X27" s="94">
        <f t="shared" si="7"/>
        <v>0</v>
      </c>
      <c r="Y27" s="94">
        <f t="shared" si="8"/>
        <v>0</v>
      </c>
      <c r="Z27" s="94">
        <f t="shared" si="9"/>
        <v>0</v>
      </c>
      <c r="AH27" s="53" t="s">
        <v>107</v>
      </c>
      <c r="AI27" s="106">
        <f>SUM(AI25:AI26)</f>
        <v>0.7</v>
      </c>
      <c r="AJ27" s="106">
        <f>SUM(AJ25:AJ26)</f>
        <v>1</v>
      </c>
      <c r="AK27" s="106">
        <f>SUM(AK25:AK26)</f>
        <v>1</v>
      </c>
      <c r="AL27" s="56"/>
      <c r="AM27" s="18"/>
      <c r="AN27" s="18"/>
      <c r="AO27" s="18"/>
      <c r="AP27" s="108"/>
      <c r="AQ27" s="109"/>
      <c r="BA27" s="5"/>
      <c r="BB27" s="5"/>
    </row>
    <row r="28" spans="1:67" ht="13.15" customHeight="1">
      <c r="A28" s="30" t="s">
        <v>67</v>
      </c>
      <c r="D28" s="55"/>
      <c r="E28" s="56"/>
      <c r="K28" s="240"/>
      <c r="L28" s="244"/>
      <c r="M28" s="228"/>
      <c r="N28" s="229"/>
      <c r="O28" s="230"/>
      <c r="P28" s="231">
        <f t="shared" si="4"/>
        <v>0</v>
      </c>
      <c r="Q28" s="90">
        <f>IF(L28="FW",(ROUND((((extender_Vd*P28*N28)/1000)),4)),IF(L28="FL",(ROUND((((SD_Vd*P28*N28)/1000)),4)),0))</f>
        <v>0</v>
      </c>
      <c r="R28" s="91">
        <f t="shared" si="5"/>
        <v>0</v>
      </c>
      <c r="S28" s="87">
        <f t="shared" si="3"/>
        <v>0</v>
      </c>
      <c r="T28" s="92">
        <f t="shared" si="6"/>
        <v>0</v>
      </c>
      <c r="U28" s="93">
        <f t="shared" si="11"/>
        <v>0</v>
      </c>
      <c r="V28" s="57"/>
      <c r="X28" s="94">
        <f t="shared" si="7"/>
        <v>0</v>
      </c>
      <c r="Y28" s="94">
        <f t="shared" si="8"/>
        <v>0</v>
      </c>
      <c r="Z28" s="94">
        <f t="shared" si="9"/>
        <v>0</v>
      </c>
      <c r="AI28" s="55"/>
      <c r="AJ28" s="5"/>
      <c r="AK28" s="5"/>
      <c r="AL28" s="5"/>
      <c r="AM28" s="18"/>
      <c r="AN28" s="18"/>
      <c r="AO28" s="18"/>
      <c r="AP28" s="108"/>
      <c r="AQ28" s="109"/>
    </row>
    <row r="29" spans="1:67" ht="13.15" customHeight="1">
      <c r="A29" s="55" t="s">
        <v>75</v>
      </c>
      <c r="B29" s="30"/>
      <c r="D29" s="156">
        <v>10</v>
      </c>
      <c r="E29" s="55" t="s">
        <v>56</v>
      </c>
      <c r="G29" s="96" t="s">
        <v>254</v>
      </c>
      <c r="I29" s="57"/>
      <c r="J29" s="96"/>
      <c r="K29" s="237"/>
      <c r="L29" s="244"/>
      <c r="M29" s="228"/>
      <c r="N29" s="229"/>
      <c r="O29" s="230"/>
      <c r="P29" s="231">
        <f t="shared" si="4"/>
        <v>0</v>
      </c>
      <c r="Q29" s="90">
        <f>IF(L29="FW",(ROUND((((extender_Vd*P29*N29)/1000)),4)),IF(L29="FL",(ROUND((((SD_Vd*P29*N29)/1000)),4)),0))</f>
        <v>0</v>
      </c>
      <c r="R29" s="91">
        <f t="shared" si="5"/>
        <v>0</v>
      </c>
      <c r="S29" s="87">
        <f t="shared" si="3"/>
        <v>0</v>
      </c>
      <c r="T29" s="92">
        <f t="shared" si="6"/>
        <v>0</v>
      </c>
      <c r="U29" s="93">
        <f t="shared" si="11"/>
        <v>0</v>
      </c>
      <c r="V29" s="57"/>
      <c r="X29" s="94">
        <f t="shared" si="7"/>
        <v>0</v>
      </c>
      <c r="Y29" s="94">
        <f t="shared" si="8"/>
        <v>0</v>
      </c>
      <c r="Z29" s="94">
        <f t="shared" si="9"/>
        <v>0</v>
      </c>
      <c r="AH29" s="53" t="s">
        <v>109</v>
      </c>
      <c r="AI29" s="106">
        <f>In/Homerun_Cg</f>
        <v>14.285714285714286</v>
      </c>
      <c r="AJ29" s="106">
        <f>In/extender_Cg</f>
        <v>10</v>
      </c>
      <c r="AK29" s="106">
        <f>In/SD_Cg</f>
        <v>10</v>
      </c>
      <c r="AL29" s="5"/>
      <c r="AM29" s="108"/>
      <c r="AN29" s="108"/>
      <c r="AO29" s="108"/>
      <c r="AP29" s="108"/>
      <c r="AQ29" s="32">
        <f t="shared" ref="AQ29:AY29" si="12">IF(AND(In=6,cpd_type="B"),AQ4,IF(AND(In=6,cpd_type="C"),AQ5,IF(AND(In=6,cpd_type="D"),AQ6,0)))</f>
        <v>0</v>
      </c>
      <c r="AR29" s="32">
        <f t="shared" si="12"/>
        <v>0</v>
      </c>
      <c r="AS29" s="32">
        <f t="shared" si="12"/>
        <v>0</v>
      </c>
      <c r="AT29" s="32">
        <f t="shared" si="12"/>
        <v>0</v>
      </c>
      <c r="AU29" s="32">
        <f t="shared" si="12"/>
        <v>0</v>
      </c>
      <c r="AV29" s="32">
        <f t="shared" si="12"/>
        <v>0</v>
      </c>
      <c r="AW29" s="32">
        <f t="shared" si="12"/>
        <v>0</v>
      </c>
      <c r="AX29" s="32">
        <f t="shared" si="12"/>
        <v>0</v>
      </c>
      <c r="AY29" s="32">
        <f t="shared" si="12"/>
        <v>0</v>
      </c>
    </row>
    <row r="30" spans="1:67" ht="13.15" customHeight="1">
      <c r="A30" s="55" t="s">
        <v>84</v>
      </c>
      <c r="B30" s="55"/>
      <c r="D30" s="157" t="s">
        <v>30</v>
      </c>
      <c r="E30" s="56"/>
      <c r="G30" s="69" t="s">
        <v>119</v>
      </c>
      <c r="I30" s="57"/>
      <c r="J30" s="153">
        <v>1</v>
      </c>
      <c r="K30" s="237"/>
      <c r="L30" s="244"/>
      <c r="M30" s="228"/>
      <c r="N30" s="229"/>
      <c r="O30" s="230"/>
      <c r="P30" s="231">
        <f t="shared" si="4"/>
        <v>0</v>
      </c>
      <c r="Q30" s="90">
        <f>IF(L30="FW",(ROUND((((extender_Vd*P30*N30)/1000)),4)),IF(L30="FL",(ROUND((((SD_Vd*P30*N30)/1000)),4)),0))</f>
        <v>0</v>
      </c>
      <c r="R30" s="91">
        <f t="shared" si="5"/>
        <v>0</v>
      </c>
      <c r="S30" s="87">
        <f t="shared" si="3"/>
        <v>0</v>
      </c>
      <c r="T30" s="92">
        <f t="shared" si="6"/>
        <v>0</v>
      </c>
      <c r="U30" s="93">
        <f t="shared" si="11"/>
        <v>0</v>
      </c>
      <c r="V30" s="57"/>
      <c r="X30" s="94">
        <f t="shared" si="7"/>
        <v>0</v>
      </c>
      <c r="Y30" s="94">
        <f t="shared" si="8"/>
        <v>0</v>
      </c>
      <c r="Z30" s="94">
        <f t="shared" si="9"/>
        <v>0</v>
      </c>
      <c r="AL30" s="5"/>
      <c r="AQ30" s="111">
        <f>IF(AND(In=10,cpd_type="B"),AQ7,IF(AND(In=10,cpd_type="C"),AQ8,IF(AND(In=10,cpd_type="D"),AQ9,)))</f>
        <v>2.4</v>
      </c>
      <c r="AR30" s="111">
        <f t="shared" ref="AR30:AY30" si="13">IF(AND(In=10,cpd_type="B"),AR7,IF(AND(In=10,cpd_type="C"),AR8,IF(AND(In=10,cpd_type="D"),AR9,0)))</f>
        <v>2.2000000000000002</v>
      </c>
      <c r="AS30" s="111">
        <f t="shared" si="13"/>
        <v>0</v>
      </c>
      <c r="AT30" s="111">
        <f t="shared" si="13"/>
        <v>0</v>
      </c>
      <c r="AU30" s="111">
        <f t="shared" si="13"/>
        <v>5.33</v>
      </c>
      <c r="AV30" s="111">
        <f t="shared" si="13"/>
        <v>0</v>
      </c>
      <c r="AW30" s="111">
        <f t="shared" si="13"/>
        <v>2.95</v>
      </c>
      <c r="AX30" s="111">
        <f t="shared" si="13"/>
        <v>0</v>
      </c>
      <c r="AY30" s="111">
        <f t="shared" si="13"/>
        <v>0</v>
      </c>
      <c r="BC30" s="34"/>
      <c r="BE30" s="102"/>
      <c r="BF30" s="111">
        <f>IF(AND(In=10,cpd_type="B"),BF7,IF(AND(In=10,cpd_type="C"),BF8,IF(AND(In=10,cpd_type="D"),BF9,)))</f>
        <v>2.4</v>
      </c>
      <c r="BG30" s="111">
        <f t="shared" ref="BG30:BN30" si="14">IF(AND(In=10,cpd_type="B"),BG7,IF(AND(In=10,cpd_type="C"),BG8,IF(AND(In=10,cpd_type="D"),BG9,0)))</f>
        <v>2.2000000000000002</v>
      </c>
      <c r="BH30" s="111">
        <f t="shared" si="14"/>
        <v>0</v>
      </c>
      <c r="BI30" s="111">
        <f t="shared" si="14"/>
        <v>0</v>
      </c>
      <c r="BJ30" s="111">
        <f t="shared" si="14"/>
        <v>2.4</v>
      </c>
      <c r="BK30" s="111">
        <f t="shared" si="14"/>
        <v>0</v>
      </c>
      <c r="BL30" s="111">
        <f t="shared" si="14"/>
        <v>2.2999999999999998</v>
      </c>
      <c r="BM30" s="111">
        <f t="shared" si="14"/>
        <v>0</v>
      </c>
      <c r="BN30" s="111">
        <f t="shared" si="14"/>
        <v>0</v>
      </c>
    </row>
    <row r="31" spans="1:67" ht="13.15" customHeight="1">
      <c r="A31" s="55" t="s">
        <v>88</v>
      </c>
      <c r="B31" s="55"/>
      <c r="D31" s="158" t="s">
        <v>10</v>
      </c>
      <c r="E31" s="56"/>
      <c r="G31" s="55" t="s">
        <v>96</v>
      </c>
      <c r="I31" s="57"/>
      <c r="J31" s="154">
        <v>2.5</v>
      </c>
      <c r="K31" s="241" t="s">
        <v>97</v>
      </c>
      <c r="L31" s="244"/>
      <c r="M31" s="228"/>
      <c r="N31" s="229"/>
      <c r="O31" s="230"/>
      <c r="P31" s="231">
        <f t="shared" si="4"/>
        <v>0</v>
      </c>
      <c r="Q31" s="90">
        <f>IF(L31="FW",(ROUND((((extender_Vd*P31*N31)/1000)),4)),IF(L31="FL",(ROUND((((SD_Vd*P31*N31)/1000)),4)),0))</f>
        <v>0</v>
      </c>
      <c r="R31" s="91">
        <f t="shared" si="5"/>
        <v>0</v>
      </c>
      <c r="S31" s="87">
        <f t="shared" si="3"/>
        <v>0</v>
      </c>
      <c r="T31" s="92">
        <f t="shared" si="6"/>
        <v>0</v>
      </c>
      <c r="U31" s="93">
        <f t="shared" si="11"/>
        <v>0</v>
      </c>
      <c r="V31" s="57"/>
      <c r="X31" s="94">
        <f t="shared" si="7"/>
        <v>0</v>
      </c>
      <c r="Y31" s="94">
        <f t="shared" si="8"/>
        <v>0</v>
      </c>
      <c r="Z31" s="94">
        <f t="shared" si="9"/>
        <v>0</v>
      </c>
      <c r="AH31" s="53" t="s">
        <v>112</v>
      </c>
      <c r="AI31" s="106" t="str">
        <f>CPD</f>
        <v>Schneider</v>
      </c>
      <c r="AL31" s="5"/>
      <c r="AM31" s="112"/>
      <c r="AN31" s="112"/>
      <c r="AO31" s="112"/>
      <c r="AP31" s="112"/>
      <c r="AQ31" s="111">
        <f t="shared" ref="AQ31:AY31" si="15">IF(AND(In=16,cpd_type="B"),AQ10,IF(AND(In=16,cpd_type="C"),AQ11,IF(AND(In=16,cpd_type="D"),AQ12,0)))</f>
        <v>0</v>
      </c>
      <c r="AR31" s="111">
        <f t="shared" si="15"/>
        <v>0</v>
      </c>
      <c r="AS31" s="111">
        <f t="shared" si="15"/>
        <v>0</v>
      </c>
      <c r="AT31" s="111">
        <f t="shared" si="15"/>
        <v>0</v>
      </c>
      <c r="AU31" s="111">
        <f t="shared" si="15"/>
        <v>0</v>
      </c>
      <c r="AV31" s="111">
        <f t="shared" si="15"/>
        <v>0</v>
      </c>
      <c r="AW31" s="111">
        <f t="shared" si="15"/>
        <v>0</v>
      </c>
      <c r="AX31" s="111">
        <f t="shared" si="15"/>
        <v>0</v>
      </c>
      <c r="AY31" s="111">
        <f t="shared" si="15"/>
        <v>0</v>
      </c>
      <c r="BC31" s="34"/>
      <c r="BE31" s="112"/>
      <c r="BF31" s="111">
        <f t="shared" ref="BF31:BN31" si="16">IF(AND(In=16,cpd_type="B"),BF10,IF(AND(In=16,cpd_type="C"),BF11,IF(AND(In=16,cpd_type="D"),BF12,0)))</f>
        <v>0</v>
      </c>
      <c r="BG31" s="111">
        <f t="shared" si="16"/>
        <v>0</v>
      </c>
      <c r="BH31" s="111">
        <f t="shared" si="16"/>
        <v>0</v>
      </c>
      <c r="BI31" s="111">
        <f t="shared" si="16"/>
        <v>0</v>
      </c>
      <c r="BJ31" s="111">
        <f t="shared" si="16"/>
        <v>0</v>
      </c>
      <c r="BK31" s="111">
        <f t="shared" si="16"/>
        <v>0</v>
      </c>
      <c r="BL31" s="111">
        <f t="shared" si="16"/>
        <v>0</v>
      </c>
      <c r="BM31" s="111">
        <f t="shared" si="16"/>
        <v>0</v>
      </c>
      <c r="BN31" s="111">
        <f t="shared" si="16"/>
        <v>0</v>
      </c>
    </row>
    <row r="32" spans="1:67" ht="13.15" customHeight="1">
      <c r="A32" s="55" t="s">
        <v>90</v>
      </c>
      <c r="B32" s="55"/>
      <c r="D32" s="70">
        <f>Zs</f>
        <v>2.4</v>
      </c>
      <c r="E32" s="72" t="s">
        <v>63</v>
      </c>
      <c r="G32" s="55" t="s">
        <v>99</v>
      </c>
      <c r="I32" s="57"/>
      <c r="J32" s="155" t="s">
        <v>148</v>
      </c>
      <c r="K32" s="237"/>
      <c r="L32" s="244"/>
      <c r="M32" s="228"/>
      <c r="N32" s="229"/>
      <c r="O32" s="230"/>
      <c r="P32" s="231">
        <f t="shared" si="4"/>
        <v>0</v>
      </c>
      <c r="Q32" s="90">
        <f>IF(L32="FW",(ROUND((((extender_Vd*P32*N32)/1000)),4)),IF(L32="FL",(ROUND((((SD_Vd*P32*N32)/1000)),4)),0))</f>
        <v>0</v>
      </c>
      <c r="R32" s="91">
        <f t="shared" si="5"/>
        <v>0</v>
      </c>
      <c r="S32" s="87">
        <f t="shared" si="3"/>
        <v>0</v>
      </c>
      <c r="T32" s="92">
        <f t="shared" si="6"/>
        <v>0</v>
      </c>
      <c r="U32" s="93">
        <f t="shared" si="11"/>
        <v>0</v>
      </c>
      <c r="V32" s="57"/>
      <c r="X32" s="94">
        <f t="shared" si="7"/>
        <v>0</v>
      </c>
      <c r="Y32" s="94">
        <f t="shared" si="8"/>
        <v>0</v>
      </c>
      <c r="Z32" s="94">
        <f t="shared" si="9"/>
        <v>0</v>
      </c>
      <c r="AH32" s="53" t="s">
        <v>114</v>
      </c>
      <c r="AI32" s="106">
        <f>IF(CPD="BS7671",AQ35,IF(CPD="ABB",AR35,IF(CPD="Crabtree",AS35,IF(CPD="Dorman",AT35,IF(CPD="Hager",AU35,IF(CPD="MEM",AV35,IF(CPD="Schneider",AW35,IF(CPD="Sq D",AY35,"ERR"))))))))</f>
        <v>2.95</v>
      </c>
      <c r="AL32" s="5"/>
      <c r="AQ32" s="111">
        <f>IF(AND(In=20,cpd_type="B"),AQ13,IF(AND(In=20,cpd_type="C"),AQ14,IF(AND(In=20,cpd_type="D"),AQ15,0)))</f>
        <v>0</v>
      </c>
      <c r="AR32" s="111">
        <f t="shared" ref="AR32:AY32" si="17">IF(AND(In=20,cpd_type="B"),AR13,IF(AND(In=20,cpd_type="C"),AR14,IF(AND(In=20,cpd_type="D"),AR15,IF(AND(In=25,cpd_type="D"),AR18,IF(AND(In=25,cpd_type="D"),AR21,0)))))</f>
        <v>0</v>
      </c>
      <c r="AS32" s="111">
        <f t="shared" si="17"/>
        <v>0</v>
      </c>
      <c r="AT32" s="111">
        <f t="shared" si="17"/>
        <v>0</v>
      </c>
      <c r="AU32" s="111">
        <f t="shared" si="17"/>
        <v>0</v>
      </c>
      <c r="AV32" s="111">
        <f t="shared" si="17"/>
        <v>0</v>
      </c>
      <c r="AW32" s="111">
        <f t="shared" si="17"/>
        <v>0</v>
      </c>
      <c r="AX32" s="111">
        <f t="shared" si="17"/>
        <v>0</v>
      </c>
      <c r="AY32" s="111">
        <f t="shared" si="17"/>
        <v>0</v>
      </c>
      <c r="BE32" s="102"/>
      <c r="BF32" s="111">
        <f>IF(AND(In=20,cpd_type="B"),BF13,IF(AND(In=20,cpd_type="C"),BF14,IF(AND(In=20,cpd_type="D"),BF15,0)))</f>
        <v>0</v>
      </c>
      <c r="BG32" s="111">
        <f t="shared" ref="BG32:BN32" si="18">IF(AND(In=20,cpd_type="B"),BG13,IF(AND(In=20,cpd_type="C"),BG14,IF(AND(In=20,cpd_type="D"),BG15,IF(AND(In=25,cpd_type="D"),BG18,IF(AND(In=25,cpd_type="D"),BG21,0)))))</f>
        <v>0</v>
      </c>
      <c r="BH32" s="111">
        <f t="shared" si="18"/>
        <v>0</v>
      </c>
      <c r="BI32" s="111">
        <f t="shared" si="18"/>
        <v>0</v>
      </c>
      <c r="BJ32" s="111">
        <f t="shared" si="18"/>
        <v>0</v>
      </c>
      <c r="BK32" s="111">
        <f t="shared" si="18"/>
        <v>0</v>
      </c>
      <c r="BL32" s="111">
        <f t="shared" si="18"/>
        <v>0</v>
      </c>
      <c r="BM32" s="111">
        <f t="shared" si="18"/>
        <v>0</v>
      </c>
      <c r="BN32" s="111">
        <f t="shared" si="18"/>
        <v>0</v>
      </c>
    </row>
    <row r="33" spans="2:66" ht="13.15" customHeight="1">
      <c r="G33" s="55" t="s">
        <v>206</v>
      </c>
      <c r="J33" s="55">
        <f>extender_tp</f>
        <v>70</v>
      </c>
      <c r="K33" s="56" t="s">
        <v>261</v>
      </c>
      <c r="L33" s="244"/>
      <c r="M33" s="228"/>
      <c r="N33" s="229"/>
      <c r="O33" s="230"/>
      <c r="P33" s="231">
        <f t="shared" si="4"/>
        <v>0</v>
      </c>
      <c r="Q33" s="90">
        <f>IF(L33="FW",(ROUND((((extender_Vd*P33*N33)/1000)),4)),IF(L33="FL",(ROUND((((SD_Vd*P33*N33)/1000)),4)),0))</f>
        <v>0</v>
      </c>
      <c r="R33" s="91">
        <f t="shared" si="5"/>
        <v>0</v>
      </c>
      <c r="S33" s="87">
        <f t="shared" si="3"/>
        <v>0</v>
      </c>
      <c r="T33" s="92">
        <f t="shared" si="6"/>
        <v>0</v>
      </c>
      <c r="U33" s="93">
        <f t="shared" si="11"/>
        <v>0</v>
      </c>
      <c r="V33" s="57"/>
      <c r="X33" s="94">
        <f t="shared" si="7"/>
        <v>0</v>
      </c>
      <c r="Y33" s="94">
        <f t="shared" si="8"/>
        <v>0</v>
      </c>
      <c r="Z33" s="94">
        <f t="shared" si="9"/>
        <v>0</v>
      </c>
      <c r="AH33" s="53" t="s">
        <v>115</v>
      </c>
      <c r="AI33" s="106">
        <f>IF(CPD="BS7671",BF35,IF(CPD="ABB",BG35,IF(CPD="Crabtree",BH35,IF(CPD="Dorman",BI35,IF(CPD="Hager",BJ35,IF(CPD="MEM",BK35,IF(CPD="Schneider",BJ35,IF(CPD="Sq D",BN35,"ERR"))))))))</f>
        <v>2.4</v>
      </c>
      <c r="AQ33" s="111">
        <f t="shared" ref="AQ33:AY33" si="19">IF(AND(In=25,cpd_type="B"),AQ16,IF(AND(In=25,cpd_type="C"),AQ17,IF(AND(In=25,cpd_type="D"),AQ18,0)))</f>
        <v>0</v>
      </c>
      <c r="AR33" s="111">
        <f t="shared" si="19"/>
        <v>0</v>
      </c>
      <c r="AS33" s="111">
        <f t="shared" si="19"/>
        <v>0</v>
      </c>
      <c r="AT33" s="111">
        <f t="shared" si="19"/>
        <v>0</v>
      </c>
      <c r="AU33" s="111">
        <f t="shared" si="19"/>
        <v>0</v>
      </c>
      <c r="AV33" s="111">
        <f t="shared" si="19"/>
        <v>0</v>
      </c>
      <c r="AW33" s="111">
        <f t="shared" si="19"/>
        <v>0</v>
      </c>
      <c r="AX33" s="111">
        <f t="shared" si="19"/>
        <v>0</v>
      </c>
      <c r="AY33" s="111">
        <f t="shared" si="19"/>
        <v>0</v>
      </c>
      <c r="BC33" s="34"/>
      <c r="BE33" s="102"/>
      <c r="BF33" s="111">
        <f t="shared" ref="BF33:BN33" si="20">IF(AND(In=25,cpd_type="B"),BF16,IF(AND(In=25,cpd_type="C"),BF17,IF(AND(In=25,cpd_type="D"),BF18,0)))</f>
        <v>0</v>
      </c>
      <c r="BG33" s="111">
        <f t="shared" si="20"/>
        <v>0</v>
      </c>
      <c r="BH33" s="111">
        <f t="shared" si="20"/>
        <v>0</v>
      </c>
      <c r="BI33" s="111">
        <f t="shared" si="20"/>
        <v>0</v>
      </c>
      <c r="BJ33" s="111">
        <f t="shared" si="20"/>
        <v>0</v>
      </c>
      <c r="BK33" s="111">
        <f t="shared" si="20"/>
        <v>0</v>
      </c>
      <c r="BL33" s="111">
        <f t="shared" si="20"/>
        <v>0</v>
      </c>
      <c r="BM33" s="111">
        <f t="shared" si="20"/>
        <v>0</v>
      </c>
      <c r="BN33" s="111">
        <f t="shared" si="20"/>
        <v>0</v>
      </c>
    </row>
    <row r="34" spans="2:66" ht="13.15" customHeight="1">
      <c r="G34" s="55" t="s">
        <v>101</v>
      </c>
      <c r="I34" s="57"/>
      <c r="J34" s="55">
        <f>extender_It1</f>
        <v>30</v>
      </c>
      <c r="K34" s="237" t="s">
        <v>56</v>
      </c>
      <c r="L34" s="244"/>
      <c r="M34" s="228"/>
      <c r="N34" s="229"/>
      <c r="O34" s="230"/>
      <c r="P34" s="231">
        <f t="shared" si="4"/>
        <v>0</v>
      </c>
      <c r="Q34" s="90">
        <f>IF(L34="FW",(ROUND((((extender_Vd*P34*N34)/1000)),4)),IF(L34="FL",(ROUND((((SD_Vd*P34*N34)/1000)),4)),0))</f>
        <v>0</v>
      </c>
      <c r="R34" s="91">
        <f t="shared" si="5"/>
        <v>0</v>
      </c>
      <c r="S34" s="87">
        <f t="shared" si="3"/>
        <v>0</v>
      </c>
      <c r="T34" s="92">
        <f t="shared" si="6"/>
        <v>0</v>
      </c>
      <c r="U34" s="93">
        <f t="shared" si="11"/>
        <v>0</v>
      </c>
      <c r="V34" s="57"/>
      <c r="X34" s="94">
        <f t="shared" si="7"/>
        <v>0</v>
      </c>
      <c r="Y34" s="94">
        <f t="shared" si="8"/>
        <v>0</v>
      </c>
      <c r="Z34" s="94">
        <f t="shared" si="9"/>
        <v>0</v>
      </c>
      <c r="AH34" s="118" t="s">
        <v>57</v>
      </c>
      <c r="AI34" s="119">
        <f>IF(Disconnection_Time=5,AI32,IF(Disconnection_Time=0.4,AI33,"Error"))</f>
        <v>2.4</v>
      </c>
      <c r="AQ34" s="111">
        <f t="shared" ref="AQ34:AY34" si="21">IF(AND(In=32,cpd_type="B"),AQ19,IF(AND(In=32,cpd_type="C"),AQ20,IF(AND(In=32,cpd_type="D"),AQ21,0)))</f>
        <v>0</v>
      </c>
      <c r="AR34" s="111">
        <f t="shared" si="21"/>
        <v>0</v>
      </c>
      <c r="AS34" s="111">
        <f t="shared" si="21"/>
        <v>0</v>
      </c>
      <c r="AT34" s="111">
        <f t="shared" si="21"/>
        <v>0</v>
      </c>
      <c r="AU34" s="111">
        <f t="shared" si="21"/>
        <v>0</v>
      </c>
      <c r="AV34" s="111">
        <f t="shared" si="21"/>
        <v>0</v>
      </c>
      <c r="AW34" s="111">
        <f t="shared" si="21"/>
        <v>0</v>
      </c>
      <c r="AX34" s="111">
        <f t="shared" si="21"/>
        <v>0</v>
      </c>
      <c r="AY34" s="111">
        <f t="shared" si="21"/>
        <v>0</v>
      </c>
      <c r="BC34" s="34"/>
      <c r="BE34" s="102"/>
      <c r="BF34" s="111">
        <f t="shared" ref="BF34:BN34" si="22">IF(AND(In=32,cpd_type="B"),BF19,IF(AND(In=32,cpd_type="C"),BF20,IF(AND(In=32,cpd_type="D"),BF21,0)))</f>
        <v>0</v>
      </c>
      <c r="BG34" s="111">
        <f t="shared" si="22"/>
        <v>0</v>
      </c>
      <c r="BH34" s="111">
        <f t="shared" si="22"/>
        <v>0</v>
      </c>
      <c r="BI34" s="111">
        <f t="shared" si="22"/>
        <v>0</v>
      </c>
      <c r="BJ34" s="111">
        <f t="shared" si="22"/>
        <v>0</v>
      </c>
      <c r="BK34" s="111">
        <f t="shared" si="22"/>
        <v>0</v>
      </c>
      <c r="BL34" s="111">
        <f t="shared" si="22"/>
        <v>0</v>
      </c>
      <c r="BM34" s="111">
        <f t="shared" si="22"/>
        <v>0</v>
      </c>
      <c r="BN34" s="111">
        <f t="shared" si="22"/>
        <v>0</v>
      </c>
    </row>
    <row r="35" spans="2:66" ht="13.15" customHeight="1">
      <c r="G35" s="55" t="s">
        <v>103</v>
      </c>
      <c r="I35" s="57"/>
      <c r="J35" s="55">
        <f>extender_Vd1</f>
        <v>18</v>
      </c>
      <c r="K35" s="237" t="s">
        <v>104</v>
      </c>
      <c r="L35" s="244"/>
      <c r="M35" s="228"/>
      <c r="N35" s="229"/>
      <c r="O35" s="230"/>
      <c r="P35" s="231">
        <f t="shared" si="4"/>
        <v>0</v>
      </c>
      <c r="Q35" s="90">
        <f>IF(L35="FW",(ROUND((((extender_Vd*P35*N35)/1000)),4)),IF(L35="FL",(ROUND((((SD_Vd*P35*N35)/1000)),4)),0))</f>
        <v>0</v>
      </c>
      <c r="R35" s="91">
        <f t="shared" si="5"/>
        <v>0</v>
      </c>
      <c r="S35" s="87">
        <f t="shared" si="3"/>
        <v>0</v>
      </c>
      <c r="T35" s="92">
        <f t="shared" si="6"/>
        <v>0</v>
      </c>
      <c r="U35" s="93">
        <f t="shared" si="11"/>
        <v>0</v>
      </c>
      <c r="V35" s="57"/>
      <c r="X35" s="94">
        <f t="shared" si="7"/>
        <v>0</v>
      </c>
      <c r="Y35" s="94">
        <f t="shared" si="8"/>
        <v>0</v>
      </c>
      <c r="Z35" s="94">
        <f t="shared" si="9"/>
        <v>0</v>
      </c>
      <c r="AD35" s="55"/>
      <c r="AE35" s="55"/>
      <c r="AP35" s="18" t="s">
        <v>121</v>
      </c>
      <c r="AQ35" s="111">
        <f t="shared" ref="AQ35:AY35" si="23">SUM(AQ29:AQ34)</f>
        <v>2.4</v>
      </c>
      <c r="AR35" s="111">
        <f t="shared" si="23"/>
        <v>2.2000000000000002</v>
      </c>
      <c r="AS35" s="111">
        <f t="shared" si="23"/>
        <v>0</v>
      </c>
      <c r="AT35" s="111">
        <f t="shared" si="23"/>
        <v>0</v>
      </c>
      <c r="AU35" s="111">
        <f t="shared" si="23"/>
        <v>5.33</v>
      </c>
      <c r="AV35" s="111">
        <f t="shared" si="23"/>
        <v>0</v>
      </c>
      <c r="AW35" s="111">
        <f t="shared" si="23"/>
        <v>2.95</v>
      </c>
      <c r="AX35" s="111">
        <f t="shared" si="23"/>
        <v>0</v>
      </c>
      <c r="AY35" s="111">
        <f t="shared" si="23"/>
        <v>0</v>
      </c>
      <c r="BC35" s="34"/>
      <c r="BE35" s="18" t="s">
        <v>121</v>
      </c>
      <c r="BF35" s="111">
        <f t="shared" ref="BF35:BN35" si="24">SUM(BF29:BF34)</f>
        <v>2.4</v>
      </c>
      <c r="BG35" s="111">
        <f t="shared" si="24"/>
        <v>2.2000000000000002</v>
      </c>
      <c r="BH35" s="111">
        <f t="shared" si="24"/>
        <v>0</v>
      </c>
      <c r="BI35" s="111">
        <f t="shared" si="24"/>
        <v>0</v>
      </c>
      <c r="BJ35" s="111">
        <f t="shared" si="24"/>
        <v>2.4</v>
      </c>
      <c r="BK35" s="111">
        <f t="shared" si="24"/>
        <v>0</v>
      </c>
      <c r="BL35" s="111">
        <f t="shared" si="24"/>
        <v>2.2999999999999998</v>
      </c>
      <c r="BM35" s="111">
        <f t="shared" si="24"/>
        <v>0</v>
      </c>
      <c r="BN35" s="111">
        <f t="shared" si="24"/>
        <v>0</v>
      </c>
    </row>
    <row r="36" spans="2:66" ht="13.15" customHeight="1">
      <c r="G36" s="55" t="s">
        <v>105</v>
      </c>
      <c r="J36" s="55">
        <f>extender_Z1</f>
        <v>7.98</v>
      </c>
      <c r="K36" s="238" t="s">
        <v>106</v>
      </c>
      <c r="L36" s="244"/>
      <c r="M36" s="228"/>
      <c r="N36" s="229"/>
      <c r="O36" s="230"/>
      <c r="P36" s="231">
        <f t="shared" si="4"/>
        <v>0</v>
      </c>
      <c r="Q36" s="90">
        <f>IF(L36="FW",(ROUND((((extender_Vd*P36*N36)/1000)),4)),IF(L36="FL",(ROUND((((SD_Vd*P36*N36)/1000)),4)),0))</f>
        <v>0</v>
      </c>
      <c r="R36" s="91">
        <f t="shared" si="5"/>
        <v>0</v>
      </c>
      <c r="S36" s="87">
        <f t="shared" si="3"/>
        <v>0</v>
      </c>
      <c r="T36" s="92">
        <f t="shared" si="6"/>
        <v>0</v>
      </c>
      <c r="U36" s="93">
        <f t="shared" si="11"/>
        <v>0</v>
      </c>
      <c r="V36" s="57"/>
      <c r="X36" s="94">
        <f t="shared" si="7"/>
        <v>0</v>
      </c>
      <c r="Y36" s="94">
        <f t="shared" si="8"/>
        <v>0</v>
      </c>
      <c r="Z36" s="94">
        <f t="shared" si="9"/>
        <v>0</v>
      </c>
      <c r="AD36" s="55"/>
      <c r="AE36" s="55"/>
      <c r="AH36" s="53" t="s">
        <v>123</v>
      </c>
      <c r="AI36" s="120" t="str">
        <f>IF(homerun_It1&gt;=(In/Homerun_Cg),AJ39,AJ40)</f>
        <v>ü</v>
      </c>
      <c r="AJ36" s="120"/>
      <c r="AK36" s="120"/>
      <c r="BE36" s="102"/>
      <c r="BF36" s="103"/>
      <c r="BG36" s="102"/>
      <c r="BH36" s="102"/>
      <c r="BI36" s="102"/>
      <c r="BJ36" s="102"/>
      <c r="BK36" s="102"/>
      <c r="BL36" s="104"/>
      <c r="BM36" s="102"/>
      <c r="BN36" s="102"/>
    </row>
    <row r="37" spans="2:66" ht="13.15" customHeight="1">
      <c r="G37" s="55" t="s">
        <v>108</v>
      </c>
      <c r="I37" s="7"/>
      <c r="J37" s="55">
        <f>ROUNDUP((Extender_ZinstPH+Extender_ZinstCPC),2)</f>
        <v>19.920000000000002</v>
      </c>
      <c r="K37" s="238" t="s">
        <v>106</v>
      </c>
      <c r="L37" s="244"/>
      <c r="M37" s="228"/>
      <c r="N37" s="229"/>
      <c r="O37" s="230"/>
      <c r="P37" s="231">
        <f t="shared" si="4"/>
        <v>0</v>
      </c>
      <c r="Q37" s="90">
        <f>IF(L37="FW",(ROUND((((extender_Vd*P37*N37)/1000)),4)),IF(L37="FL",(ROUND((((SD_Vd*P37*N37)/1000)),4)),0))</f>
        <v>0</v>
      </c>
      <c r="R37" s="91">
        <f t="shared" si="5"/>
        <v>0</v>
      </c>
      <c r="S37" s="87">
        <f t="shared" si="3"/>
        <v>0</v>
      </c>
      <c r="T37" s="92">
        <f t="shared" si="6"/>
        <v>0</v>
      </c>
      <c r="U37" s="93">
        <f t="shared" si="11"/>
        <v>0</v>
      </c>
      <c r="V37" s="57"/>
      <c r="X37" s="94">
        <f t="shared" si="7"/>
        <v>0</v>
      </c>
      <c r="Y37" s="94">
        <f t="shared" si="8"/>
        <v>0</v>
      </c>
      <c r="Z37" s="94">
        <f t="shared" si="9"/>
        <v>0</v>
      </c>
      <c r="AH37" s="53" t="s">
        <v>125</v>
      </c>
      <c r="AI37" s="120"/>
      <c r="AJ37" s="120" t="str">
        <f>IF(extender_It1&gt;=(In/extender_Cg),AJ39,AJ40)</f>
        <v>ü</v>
      </c>
      <c r="AK37" s="34"/>
      <c r="AP37" s="18" t="str">
        <f>D31</f>
        <v>Schneider</v>
      </c>
      <c r="AQ37" s="32"/>
      <c r="BE37" s="18" t="str">
        <f>D31</f>
        <v>Schneider</v>
      </c>
      <c r="BF37" s="32"/>
      <c r="BG37" s="102"/>
      <c r="BH37" s="102"/>
      <c r="BI37" s="102"/>
      <c r="BJ37" s="102"/>
      <c r="BK37" s="102"/>
      <c r="BL37" s="104"/>
      <c r="BM37" s="102"/>
      <c r="BN37" s="102"/>
    </row>
    <row r="38" spans="2:66" s="7" customFormat="1" ht="13.15" customHeight="1">
      <c r="G38" s="55" t="s">
        <v>138</v>
      </c>
      <c r="H38" s="55"/>
      <c r="I38" s="57"/>
      <c r="J38" s="110">
        <f>AQ59</f>
        <v>800.00000000000011</v>
      </c>
      <c r="K38" s="237" t="s">
        <v>56</v>
      </c>
      <c r="L38" s="244"/>
      <c r="M38" s="228"/>
      <c r="N38" s="229"/>
      <c r="O38" s="230"/>
      <c r="P38" s="231">
        <f t="shared" si="4"/>
        <v>0</v>
      </c>
      <c r="Q38" s="90">
        <f>IF(L38="FW",(ROUND((((extender_Vd*P38*N38)/1000)),4)),IF(L38="FL",(ROUND((((SD_Vd*P38*N38)/1000)),4)),0))</f>
        <v>0</v>
      </c>
      <c r="R38" s="91">
        <f t="shared" si="5"/>
        <v>0</v>
      </c>
      <c r="S38" s="87">
        <f t="shared" si="3"/>
        <v>0</v>
      </c>
      <c r="T38" s="92">
        <f t="shared" si="6"/>
        <v>0</v>
      </c>
      <c r="U38" s="93">
        <f t="shared" si="11"/>
        <v>0</v>
      </c>
      <c r="V38" s="57"/>
      <c r="W38" s="55"/>
      <c r="X38" s="94">
        <f t="shared" si="7"/>
        <v>0</v>
      </c>
      <c r="Y38" s="94">
        <f t="shared" si="8"/>
        <v>0</v>
      </c>
      <c r="Z38" s="94">
        <f t="shared" si="9"/>
        <v>0</v>
      </c>
      <c r="AF38" s="11"/>
      <c r="AG38" s="11"/>
      <c r="AH38" s="53" t="s">
        <v>126</v>
      </c>
      <c r="AI38" s="9"/>
      <c r="AJ38" s="9"/>
      <c r="AK38" s="120" t="str">
        <f>IF(SD_It1&gt;=(In/SD_Cg),AK39,AK40)</f>
        <v>ü</v>
      </c>
      <c r="AM38" s="102"/>
      <c r="AN38" s="102"/>
      <c r="AO38" s="102"/>
      <c r="AP38" s="102"/>
      <c r="AQ38" s="103"/>
      <c r="AR38" s="102"/>
      <c r="AS38" s="102"/>
      <c r="AT38" s="102"/>
      <c r="AU38" s="102"/>
      <c r="AV38" s="102"/>
      <c r="AW38" s="104"/>
      <c r="AX38" s="102"/>
      <c r="AY38" s="102"/>
      <c r="AZ38" s="105"/>
    </row>
    <row r="39" spans="2:66" ht="13.15" customHeight="1">
      <c r="B39" s="314" t="str">
        <f>IF(J7=0,"This calculation is un-checked",0)</f>
        <v>This calculation is un-checked</v>
      </c>
      <c r="C39" s="315"/>
      <c r="D39" s="315"/>
      <c r="G39" s="55" t="s">
        <v>140</v>
      </c>
      <c r="I39" s="57"/>
      <c r="J39" s="110">
        <f>AQ60</f>
        <v>298.88857529557333</v>
      </c>
      <c r="K39" s="237" t="s">
        <v>56</v>
      </c>
      <c r="L39" s="244"/>
      <c r="M39" s="228"/>
      <c r="N39" s="229"/>
      <c r="O39" s="230"/>
      <c r="P39" s="231">
        <f t="shared" si="4"/>
        <v>0</v>
      </c>
      <c r="Q39" s="90">
        <f>IF(L39="FW",(ROUND((((extender_Vd*P39*N39)/1000)),4)),IF(L39="FL",(ROUND((((SD_Vd*P39*N39)/1000)),4)),0))</f>
        <v>0</v>
      </c>
      <c r="R39" s="91">
        <f t="shared" si="5"/>
        <v>0</v>
      </c>
      <c r="S39" s="87">
        <f t="shared" si="3"/>
        <v>0</v>
      </c>
      <c r="T39" s="92">
        <f t="shared" si="6"/>
        <v>0</v>
      </c>
      <c r="U39" s="93">
        <f t="shared" si="11"/>
        <v>0</v>
      </c>
      <c r="V39" s="57"/>
      <c r="X39" s="94">
        <f t="shared" si="7"/>
        <v>0</v>
      </c>
      <c r="Y39" s="94">
        <f t="shared" si="8"/>
        <v>0</v>
      </c>
      <c r="Z39" s="94">
        <f t="shared" si="9"/>
        <v>0</v>
      </c>
      <c r="AH39" s="53" t="s">
        <v>128</v>
      </c>
      <c r="AI39" s="120" t="str">
        <f ca="1">IF((ROUNDUP((100/nominal_V*D60),2))&lt;=Max_VD,AJ39,AJ40)</f>
        <v>ü</v>
      </c>
      <c r="AJ39" s="120" t="s">
        <v>129</v>
      </c>
      <c r="AK39" s="120" t="s">
        <v>129</v>
      </c>
      <c r="BA39" s="55"/>
      <c r="BB39" s="55"/>
    </row>
    <row r="40" spans="2:66" ht="13.15" customHeight="1">
      <c r="B40" s="315"/>
      <c r="C40" s="315"/>
      <c r="D40" s="315"/>
      <c r="G40" s="55" t="s">
        <v>143</v>
      </c>
      <c r="I40" s="57"/>
      <c r="J40" s="110">
        <f>AS76</f>
        <v>2100</v>
      </c>
      <c r="K40" s="237"/>
      <c r="L40" s="244"/>
      <c r="M40" s="228"/>
      <c r="N40" s="229"/>
      <c r="O40" s="230"/>
      <c r="P40" s="231">
        <f t="shared" si="4"/>
        <v>0</v>
      </c>
      <c r="Q40" s="90">
        <f>IF(L40="FW",(ROUND((((extender_Vd*P40*N40)/1000)),4)),IF(L40="FL",(ROUND((((SD_Vd*P40*N40)/1000)),4)),0))</f>
        <v>0</v>
      </c>
      <c r="R40" s="91">
        <f t="shared" si="5"/>
        <v>0</v>
      </c>
      <c r="S40" s="87">
        <f t="shared" si="3"/>
        <v>0</v>
      </c>
      <c r="T40" s="92">
        <f t="shared" si="6"/>
        <v>0</v>
      </c>
      <c r="U40" s="93">
        <f t="shared" si="11"/>
        <v>0</v>
      </c>
      <c r="V40" s="57"/>
      <c r="X40" s="94">
        <f t="shared" si="7"/>
        <v>0</v>
      </c>
      <c r="Y40" s="94">
        <f t="shared" si="8"/>
        <v>0</v>
      </c>
      <c r="Z40" s="94">
        <f t="shared" si="9"/>
        <v>0</v>
      </c>
      <c r="AH40" s="53" t="s">
        <v>131</v>
      </c>
      <c r="AI40" s="120" t="str">
        <f>IF(D58&lt;=D32,AJ39,AJ40)</f>
        <v>ü</v>
      </c>
      <c r="AJ40" s="120" t="s">
        <v>132</v>
      </c>
      <c r="AK40" s="120" t="s">
        <v>132</v>
      </c>
      <c r="AM40" s="121"/>
      <c r="AN40" s="121"/>
      <c r="AO40" s="121"/>
      <c r="AP40" s="121"/>
      <c r="AQ40" s="32" t="s">
        <v>133</v>
      </c>
      <c r="AR40" s="121"/>
      <c r="AS40" s="32" t="s">
        <v>134</v>
      </c>
      <c r="AT40" s="121"/>
      <c r="AU40" s="121"/>
      <c r="AV40" s="121"/>
      <c r="AW40" s="122"/>
      <c r="BA40" s="55"/>
      <c r="BB40" s="55"/>
    </row>
    <row r="41" spans="2:66" ht="13.15" customHeight="1">
      <c r="B41" s="315"/>
      <c r="C41" s="315"/>
      <c r="D41" s="315"/>
      <c r="G41" s="55" t="s">
        <v>145</v>
      </c>
      <c r="H41" s="7"/>
      <c r="I41" s="57"/>
      <c r="J41" s="110">
        <f>AU76</f>
        <v>300</v>
      </c>
      <c r="K41" s="237"/>
      <c r="L41" s="244"/>
      <c r="M41" s="228"/>
      <c r="N41" s="229"/>
      <c r="O41" s="230"/>
      <c r="P41" s="231">
        <f t="shared" si="4"/>
        <v>0</v>
      </c>
      <c r="Q41" s="90">
        <f>IF(L41="FW",(ROUND((((extender_Vd*P41*N41)/1000)),4)),IF(L41="FL",(ROUND((((SD_Vd*P41*N41)/1000)),4)),0))</f>
        <v>0</v>
      </c>
      <c r="R41" s="91">
        <f t="shared" si="5"/>
        <v>0</v>
      </c>
      <c r="S41" s="87">
        <f t="shared" si="3"/>
        <v>0</v>
      </c>
      <c r="T41" s="92">
        <f t="shared" si="6"/>
        <v>0</v>
      </c>
      <c r="U41" s="93">
        <f t="shared" si="11"/>
        <v>0</v>
      </c>
      <c r="V41" s="57"/>
      <c r="X41" s="94">
        <f t="shared" si="7"/>
        <v>0</v>
      </c>
      <c r="Y41" s="94">
        <f t="shared" si="8"/>
        <v>0</v>
      </c>
      <c r="Z41" s="94">
        <f t="shared" si="9"/>
        <v>0</v>
      </c>
      <c r="AD41" s="60" t="s">
        <v>201</v>
      </c>
      <c r="AH41" s="53" t="s">
        <v>136</v>
      </c>
      <c r="AI41" s="120" t="str">
        <f>IF(J25&gt;J24,AJ39,AJ40)</f>
        <v>ü</v>
      </c>
      <c r="AM41" s="121"/>
      <c r="AN41" s="121"/>
      <c r="AO41" s="121"/>
      <c r="AP41" s="121"/>
      <c r="AQ41" s="32" t="s">
        <v>73</v>
      </c>
      <c r="AR41" s="32" t="s">
        <v>137</v>
      </c>
      <c r="AS41" s="32" t="s">
        <v>73</v>
      </c>
      <c r="AT41" s="32" t="s">
        <v>137</v>
      </c>
      <c r="AU41" s="32"/>
      <c r="AV41" s="121"/>
      <c r="AW41" s="122"/>
      <c r="BA41" s="55"/>
      <c r="BB41" s="55"/>
    </row>
    <row r="42" spans="2:66" ht="13.15" customHeight="1">
      <c r="B42" s="315"/>
      <c r="C42" s="315"/>
      <c r="D42" s="315"/>
      <c r="G42" s="55" t="s">
        <v>111</v>
      </c>
      <c r="I42" s="57"/>
      <c r="J42" s="110">
        <f>143^2*extender_csa^2</f>
        <v>127806.25</v>
      </c>
      <c r="K42" s="237"/>
      <c r="L42" s="244"/>
      <c r="M42" s="228"/>
      <c r="N42" s="229"/>
      <c r="O42" s="230"/>
      <c r="P42" s="231">
        <f t="shared" si="4"/>
        <v>0</v>
      </c>
      <c r="Q42" s="90">
        <f>IF(L42="FW",(ROUND((((extender_Vd*P42*N42)/1000)),4)),IF(L42="FL",(ROUND((((SD_Vd*P42*N42)/1000)),4)),0))</f>
        <v>0</v>
      </c>
      <c r="R42" s="91">
        <f t="shared" si="5"/>
        <v>0</v>
      </c>
      <c r="S42" s="87">
        <f t="shared" si="3"/>
        <v>0</v>
      </c>
      <c r="T42" s="92">
        <f t="shared" si="6"/>
        <v>0</v>
      </c>
      <c r="U42" s="93">
        <f t="shared" si="11"/>
        <v>0</v>
      </c>
      <c r="V42" s="57"/>
      <c r="X42" s="94">
        <f t="shared" si="7"/>
        <v>0</v>
      </c>
      <c r="Y42" s="94">
        <f t="shared" si="8"/>
        <v>0</v>
      </c>
      <c r="Z42" s="94">
        <f t="shared" si="9"/>
        <v>0</v>
      </c>
      <c r="AD42" s="60" t="s">
        <v>192</v>
      </c>
      <c r="AH42" s="53" t="s">
        <v>139</v>
      </c>
      <c r="AI42" s="120" t="str">
        <f>IF(J42&gt;J40,AJ39,AJ40)</f>
        <v>ü</v>
      </c>
      <c r="AM42" s="121"/>
      <c r="AN42" s="121"/>
      <c r="AO42" s="121"/>
      <c r="AP42" s="121"/>
      <c r="AQ42" s="32"/>
      <c r="AR42" s="32"/>
      <c r="AS42" s="32"/>
      <c r="AT42" s="32"/>
      <c r="AU42" s="32"/>
      <c r="AV42" s="121"/>
      <c r="AW42" s="122"/>
      <c r="BA42" s="55"/>
      <c r="BB42" s="55"/>
    </row>
    <row r="43" spans="2:66" ht="13.15" customHeight="1">
      <c r="B43" s="315"/>
      <c r="C43" s="315"/>
      <c r="D43" s="315"/>
      <c r="G43" s="54" t="s">
        <v>146</v>
      </c>
      <c r="I43" s="57"/>
      <c r="J43" s="113" t="str">
        <f>AI42</f>
        <v>ü</v>
      </c>
      <c r="K43" s="237"/>
      <c r="L43" s="244"/>
      <c r="M43" s="228"/>
      <c r="N43" s="229"/>
      <c r="O43" s="230"/>
      <c r="P43" s="231">
        <f t="shared" si="4"/>
        <v>0</v>
      </c>
      <c r="Q43" s="90">
        <f>IF(L43="FW",(ROUND((((extender_Vd*P43*N43)/1000)),4)),IF(L43="FL",(ROUND((((SD_Vd*P43*N43)/1000)),4)),0))</f>
        <v>0</v>
      </c>
      <c r="R43" s="91">
        <f t="shared" si="5"/>
        <v>0</v>
      </c>
      <c r="S43" s="87">
        <f t="shared" si="3"/>
        <v>0</v>
      </c>
      <c r="T43" s="92">
        <f t="shared" si="6"/>
        <v>0</v>
      </c>
      <c r="U43" s="93">
        <f t="shared" si="11"/>
        <v>0</v>
      </c>
      <c r="V43" s="57"/>
      <c r="X43" s="94">
        <f t="shared" si="7"/>
        <v>0</v>
      </c>
      <c r="Y43" s="94">
        <f t="shared" si="8"/>
        <v>0</v>
      </c>
      <c r="Z43" s="94">
        <f t="shared" si="9"/>
        <v>0</v>
      </c>
      <c r="AH43" s="53" t="s">
        <v>142</v>
      </c>
      <c r="AI43" s="120" t="str">
        <f>IF(J42&gt;J41,AJ39,AJ40)</f>
        <v>ü</v>
      </c>
      <c r="AL43" s="55"/>
      <c r="AM43" s="121"/>
      <c r="AN43" s="121"/>
      <c r="AO43" s="121"/>
      <c r="AP43" s="121">
        <v>1</v>
      </c>
      <c r="AQ43" s="123">
        <v>100</v>
      </c>
      <c r="AR43" s="123">
        <v>70</v>
      </c>
      <c r="AS43" s="123">
        <v>100</v>
      </c>
      <c r="AT43" s="123">
        <v>70</v>
      </c>
      <c r="AU43" s="124"/>
      <c r="AV43" s="121"/>
      <c r="AW43" s="122"/>
      <c r="BA43" s="55"/>
      <c r="BB43" s="55"/>
    </row>
    <row r="44" spans="2:66" ht="13.15" customHeight="1">
      <c r="B44" s="315"/>
      <c r="C44" s="315"/>
      <c r="D44" s="315"/>
      <c r="G44" s="54" t="s">
        <v>147</v>
      </c>
      <c r="I44" s="57"/>
      <c r="J44" s="113" t="str">
        <f>AI43</f>
        <v>ü</v>
      </c>
      <c r="K44" s="237"/>
      <c r="L44" s="244"/>
      <c r="M44" s="228"/>
      <c r="N44" s="229"/>
      <c r="O44" s="230"/>
      <c r="P44" s="231">
        <f t="shared" si="4"/>
        <v>0</v>
      </c>
      <c r="Q44" s="90">
        <f>IF(L44="FW",(ROUND((((extender_Vd*P44*N44)/1000)),4)),IF(L44="FL",(ROUND((((SD_Vd*P44*N44)/1000)),4)),0))</f>
        <v>0</v>
      </c>
      <c r="R44" s="91">
        <f t="shared" si="5"/>
        <v>0</v>
      </c>
      <c r="S44" s="87">
        <f t="shared" si="3"/>
        <v>0</v>
      </c>
      <c r="T44" s="92">
        <f t="shared" si="6"/>
        <v>0</v>
      </c>
      <c r="U44" s="93">
        <f t="shared" si="11"/>
        <v>0</v>
      </c>
      <c r="V44" s="57"/>
      <c r="X44" s="94">
        <f t="shared" si="7"/>
        <v>0</v>
      </c>
      <c r="Y44" s="94">
        <f t="shared" si="8"/>
        <v>0</v>
      </c>
      <c r="Z44" s="94">
        <f t="shared" si="9"/>
        <v>0</v>
      </c>
      <c r="AC44" s="41"/>
      <c r="AG44" s="41"/>
      <c r="AH44" s="53" t="s">
        <v>144</v>
      </c>
      <c r="AI44" s="120" t="str">
        <f>IF(J58&gt;J57,AJ39,AJ40)</f>
        <v>ü</v>
      </c>
      <c r="AL44" s="55"/>
      <c r="AM44" s="121"/>
      <c r="AN44" s="121"/>
      <c r="AO44" s="121"/>
      <c r="AP44" s="121">
        <v>2</v>
      </c>
      <c r="AQ44" s="123">
        <v>200</v>
      </c>
      <c r="AR44" s="123">
        <v>300</v>
      </c>
      <c r="AS44" s="123">
        <v>200</v>
      </c>
      <c r="AT44" s="123">
        <v>300</v>
      </c>
      <c r="AU44" s="124"/>
      <c r="AV44" s="121"/>
      <c r="AW44" s="122"/>
      <c r="BA44" s="55"/>
      <c r="BB44" s="55"/>
    </row>
    <row r="45" spans="2:66" ht="13.15" customHeight="1">
      <c r="F45" s="96"/>
      <c r="K45" s="240"/>
      <c r="L45" s="245"/>
      <c r="M45" s="228"/>
      <c r="N45" s="229"/>
      <c r="O45" s="230"/>
      <c r="P45" s="232">
        <f t="shared" si="4"/>
        <v>0</v>
      </c>
      <c r="Q45" s="114">
        <f>IF(L45="FW",(ROUND((((extender_Vd*P45*N45)/1000)),4)),IF(L45="FL",(ROUND((((SD_Vd*P45*N45)/1000)),4)),0))</f>
        <v>0</v>
      </c>
      <c r="R45" s="114">
        <f t="shared" si="5"/>
        <v>0</v>
      </c>
      <c r="S45" s="77">
        <f t="shared" si="3"/>
        <v>0</v>
      </c>
      <c r="T45" s="82">
        <f t="shared" si="6"/>
        <v>0</v>
      </c>
      <c r="U45" s="115">
        <f t="shared" si="11"/>
        <v>0</v>
      </c>
      <c r="V45" s="57"/>
      <c r="X45" s="116">
        <f t="shared" si="7"/>
        <v>0</v>
      </c>
      <c r="Y45" s="116">
        <f t="shared" si="8"/>
        <v>0</v>
      </c>
      <c r="Z45" s="116">
        <f t="shared" si="9"/>
        <v>0</v>
      </c>
      <c r="AC45" s="41"/>
      <c r="AG45" s="41"/>
      <c r="AH45" s="125"/>
      <c r="AI45" s="41"/>
      <c r="AJ45" s="55"/>
      <c r="AK45" s="55"/>
      <c r="AL45" s="55"/>
      <c r="AM45" s="121"/>
      <c r="AN45" s="121"/>
      <c r="AO45" s="121"/>
      <c r="AP45" s="121">
        <v>3</v>
      </c>
      <c r="AQ45" s="123">
        <v>300</v>
      </c>
      <c r="AR45" s="123">
        <v>500</v>
      </c>
      <c r="AS45" s="123">
        <v>300</v>
      </c>
      <c r="AT45" s="123">
        <v>500</v>
      </c>
      <c r="AU45" s="124"/>
      <c r="AV45" s="121"/>
      <c r="AW45" s="122"/>
      <c r="BA45" s="55"/>
      <c r="BB45" s="55"/>
    </row>
    <row r="46" spans="2:66" ht="13.15" customHeight="1">
      <c r="K46" s="240"/>
      <c r="L46" s="233"/>
      <c r="M46" s="234"/>
      <c r="N46" s="235"/>
      <c r="O46" s="236"/>
      <c r="P46" s="57"/>
      <c r="Q46" s="57"/>
      <c r="S46" s="56"/>
      <c r="V46" s="57"/>
      <c r="X46" s="106">
        <f>SUM(X18:X45)</f>
        <v>0.87</v>
      </c>
      <c r="Y46" s="106">
        <f>SUM(Y18:Y45)</f>
        <v>298.88857529557333</v>
      </c>
      <c r="Z46" s="106">
        <f>SUM(Z18:Z45)</f>
        <v>1.33</v>
      </c>
      <c r="AC46" s="41"/>
      <c r="AG46" s="41"/>
      <c r="AH46" s="53" t="s">
        <v>188</v>
      </c>
      <c r="AI46" s="257">
        <f ca="1">IF(ISNUMBER(SEARCH("L1",C12)),VD_L1,IF(ISNUMBER(SEARCH("L2",C12)),VD_L2,IF(ISNUMBER(SEARCH("L3",C12)),VD_L3,"")))</f>
        <v>2.1499999999999998E-2</v>
      </c>
      <c r="AJ46" s="55"/>
      <c r="AK46" s="55"/>
      <c r="AL46" s="55"/>
      <c r="AM46" s="121"/>
      <c r="AN46" s="121"/>
      <c r="AO46" s="121"/>
      <c r="AP46" s="121">
        <v>4</v>
      </c>
      <c r="AQ46" s="123">
        <v>400</v>
      </c>
      <c r="AR46" s="123">
        <v>980</v>
      </c>
      <c r="AS46" s="123">
        <v>400</v>
      </c>
      <c r="AT46" s="123">
        <v>980</v>
      </c>
      <c r="AU46" s="124"/>
      <c r="AV46" s="121"/>
      <c r="AW46" s="122"/>
      <c r="BA46" s="55"/>
      <c r="BB46" s="55"/>
    </row>
    <row r="47" spans="2:66" ht="13.15" customHeight="1">
      <c r="G47" s="96" t="s">
        <v>255</v>
      </c>
      <c r="I47" s="57"/>
      <c r="J47" s="96"/>
      <c r="K47" s="242"/>
      <c r="L47" s="30" t="s">
        <v>116</v>
      </c>
      <c r="M47" s="57"/>
      <c r="P47" s="57"/>
      <c r="Q47" s="56"/>
      <c r="R47" s="30" t="s">
        <v>117</v>
      </c>
      <c r="S47" s="131"/>
      <c r="T47" s="128"/>
      <c r="U47" s="117" t="s">
        <v>118</v>
      </c>
      <c r="V47" s="57"/>
      <c r="AH47" s="53" t="s">
        <v>188</v>
      </c>
      <c r="AI47" s="258">
        <f ca="1">Source_Nominal_V*(AI46)</f>
        <v>4.9449999999999994</v>
      </c>
      <c r="AJ47" s="55"/>
      <c r="AK47" s="55"/>
      <c r="AM47" s="121"/>
      <c r="AN47" s="121"/>
      <c r="AO47" s="121"/>
      <c r="AP47" s="121">
        <v>5</v>
      </c>
      <c r="AQ47" s="123">
        <v>500</v>
      </c>
      <c r="AR47" s="123">
        <v>1200</v>
      </c>
      <c r="AS47" s="123">
        <v>500</v>
      </c>
      <c r="AT47" s="123">
        <v>1200</v>
      </c>
      <c r="AU47" s="124"/>
      <c r="AV47" s="121"/>
      <c r="AW47" s="122"/>
    </row>
    <row r="48" spans="2:66" ht="13.15" customHeight="1">
      <c r="G48" s="69" t="s">
        <v>119</v>
      </c>
      <c r="I48" s="57"/>
      <c r="J48" s="153">
        <v>1</v>
      </c>
      <c r="K48" s="56"/>
      <c r="L48" s="55" t="s">
        <v>257</v>
      </c>
      <c r="M48" s="57"/>
      <c r="P48" s="57"/>
      <c r="Q48" s="56"/>
      <c r="R48" s="55" t="s">
        <v>120</v>
      </c>
      <c r="U48" s="133" t="str">
        <f>AI36</f>
        <v>ü</v>
      </c>
      <c r="V48" s="57"/>
      <c r="AH48" s="53" t="s">
        <v>241</v>
      </c>
      <c r="AI48" s="258">
        <f ca="1">IF(ISNUMBER(SEARCH("L1",C12)),VDV_L1,IF(ISNUMBER(SEARCH("L2",C12)),VDV_L2,IF(ISNUMBER(SEARCH("L3",C12)),VDV_L3,"")))</f>
        <v>229.50550000000001</v>
      </c>
      <c r="AJ48" s="55"/>
      <c r="AK48" s="55"/>
      <c r="AM48" s="121"/>
      <c r="AN48" s="121"/>
      <c r="AO48" s="121"/>
      <c r="AP48" s="121">
        <v>6</v>
      </c>
      <c r="AQ48" s="123">
        <v>600</v>
      </c>
      <c r="AR48" s="123">
        <v>1500</v>
      </c>
      <c r="AS48" s="123">
        <v>600</v>
      </c>
      <c r="AT48" s="123">
        <v>1500</v>
      </c>
      <c r="AU48" s="124"/>
      <c r="AV48" s="121"/>
      <c r="AW48" s="122"/>
    </row>
    <row r="49" spans="1:49" ht="13.15" customHeight="1">
      <c r="G49" s="55" t="s">
        <v>96</v>
      </c>
      <c r="I49" s="57"/>
      <c r="J49" s="154">
        <f>IF(Service="Lighting",1.5,IF(Service="Power",2.5,"Error"))</f>
        <v>1.5</v>
      </c>
      <c r="K49" s="56" t="s">
        <v>97</v>
      </c>
      <c r="L49" s="54" t="s">
        <v>258</v>
      </c>
      <c r="M49" s="57"/>
      <c r="P49" s="57"/>
      <c r="Q49" s="56"/>
      <c r="R49" s="55" t="s">
        <v>122</v>
      </c>
      <c r="U49" s="133" t="str">
        <f>AJ37</f>
        <v>ü</v>
      </c>
      <c r="V49" s="57"/>
      <c r="AE49" s="55"/>
      <c r="AF49" s="55"/>
      <c r="AG49" s="55"/>
      <c r="AH49" s="55"/>
      <c r="AM49" s="121"/>
      <c r="AN49" s="121"/>
      <c r="AO49" s="121"/>
      <c r="AP49" s="121">
        <v>7</v>
      </c>
      <c r="AQ49" s="123">
        <v>700</v>
      </c>
      <c r="AR49" s="123">
        <v>2000</v>
      </c>
      <c r="AS49" s="123">
        <v>700</v>
      </c>
      <c r="AT49" s="123">
        <v>2000</v>
      </c>
      <c r="AU49" s="124"/>
      <c r="AV49" s="121"/>
      <c r="AW49" s="122"/>
    </row>
    <row r="50" spans="1:49" ht="13.15" customHeight="1">
      <c r="G50" s="55" t="s">
        <v>99</v>
      </c>
      <c r="I50" s="57"/>
      <c r="J50" s="155" t="s">
        <v>148</v>
      </c>
      <c r="K50" s="56"/>
      <c r="L50" s="54"/>
      <c r="M50" s="22"/>
      <c r="N50" s="22"/>
      <c r="O50" s="22"/>
      <c r="P50" s="22"/>
      <c r="Q50" s="56"/>
      <c r="R50" s="55" t="s">
        <v>124</v>
      </c>
      <c r="U50" s="133" t="str">
        <f>AK38</f>
        <v>ü</v>
      </c>
      <c r="V50" s="57"/>
      <c r="AE50" s="55"/>
      <c r="AF50" s="55"/>
      <c r="AG50" s="55"/>
      <c r="AH50" s="55"/>
      <c r="AM50" s="121"/>
      <c r="AN50" s="121"/>
      <c r="AO50" s="121"/>
      <c r="AP50" s="121">
        <v>8</v>
      </c>
      <c r="AQ50" s="123">
        <v>800</v>
      </c>
      <c r="AR50" s="123">
        <v>2100</v>
      </c>
      <c r="AS50" s="123">
        <v>800</v>
      </c>
      <c r="AT50" s="123">
        <v>2100</v>
      </c>
      <c r="AU50" s="124"/>
      <c r="AV50" s="121"/>
      <c r="AW50" s="122"/>
    </row>
    <row r="51" spans="1:49" ht="13.15" customHeight="1">
      <c r="G51" s="55" t="s">
        <v>206</v>
      </c>
      <c r="J51" s="55">
        <f>SD_tp</f>
        <v>70</v>
      </c>
      <c r="K51" s="56" t="s">
        <v>261</v>
      </c>
      <c r="L51" s="134"/>
      <c r="M51" s="57"/>
      <c r="P51" s="57"/>
      <c r="Q51" s="56"/>
      <c r="R51" s="55" t="str">
        <f ca="1">"Voltage Drop less than "&amp;Max_VD&amp;"%:"</f>
        <v>Voltage Drop less than 1.85%:</v>
      </c>
      <c r="S51" s="57"/>
      <c r="U51" s="133" t="str">
        <f ca="1">AI39</f>
        <v>ü</v>
      </c>
      <c r="V51" s="57"/>
      <c r="AE51" s="55"/>
      <c r="AF51" s="55"/>
      <c r="AG51" s="55"/>
      <c r="AH51" s="55"/>
      <c r="AM51" s="121"/>
      <c r="AN51" s="121"/>
      <c r="AO51" s="121"/>
      <c r="AP51" s="121">
        <v>9</v>
      </c>
      <c r="AQ51" s="123">
        <v>900</v>
      </c>
      <c r="AR51" s="123">
        <v>2500</v>
      </c>
      <c r="AS51" s="123">
        <v>900</v>
      </c>
      <c r="AT51" s="123">
        <v>2500</v>
      </c>
      <c r="AU51" s="124"/>
      <c r="AV51" s="121"/>
      <c r="AW51" s="122"/>
    </row>
    <row r="52" spans="1:49" ht="13.15" customHeight="1">
      <c r="A52" s="59"/>
      <c r="C52" s="57"/>
      <c r="D52" s="57"/>
      <c r="G52" s="55" t="s">
        <v>101</v>
      </c>
      <c r="I52" s="57"/>
      <c r="J52" s="55">
        <f>SD_It1</f>
        <v>16</v>
      </c>
      <c r="K52" s="56" t="s">
        <v>56</v>
      </c>
      <c r="L52" s="134"/>
      <c r="M52" s="57"/>
      <c r="P52" s="57"/>
      <c r="Q52" s="56"/>
      <c r="R52" s="55" t="s">
        <v>127</v>
      </c>
      <c r="S52" s="57"/>
      <c r="U52" s="133" t="str">
        <f>AI40</f>
        <v>ü</v>
      </c>
      <c r="V52" s="57"/>
      <c r="AE52" s="55"/>
      <c r="AF52" s="55"/>
      <c r="AG52" s="55"/>
      <c r="AH52" s="55"/>
      <c r="AM52" s="121"/>
      <c r="AN52" s="121"/>
      <c r="AO52" s="121"/>
      <c r="AP52" s="121">
        <v>10</v>
      </c>
      <c r="AQ52" s="123">
        <v>1000</v>
      </c>
      <c r="AR52" s="123">
        <v>2800</v>
      </c>
      <c r="AS52" s="123">
        <v>1000</v>
      </c>
      <c r="AT52" s="123">
        <v>2800</v>
      </c>
      <c r="AU52" s="124"/>
      <c r="AV52" s="121"/>
      <c r="AW52" s="122"/>
    </row>
    <row r="53" spans="1:49" ht="13.15" customHeight="1">
      <c r="A53" s="59"/>
      <c r="G53" s="55" t="s">
        <v>103</v>
      </c>
      <c r="I53" s="57"/>
      <c r="J53" s="55">
        <f>SD_Vd1</f>
        <v>32</v>
      </c>
      <c r="K53" s="56" t="s">
        <v>104</v>
      </c>
      <c r="L53" s="54"/>
      <c r="U53" s="133"/>
      <c r="V53" s="57"/>
      <c r="AE53" s="55"/>
      <c r="AF53" s="55"/>
      <c r="AG53" s="55"/>
      <c r="AH53" s="55"/>
      <c r="AM53" s="121"/>
      <c r="AN53" s="121"/>
      <c r="AO53" s="121"/>
      <c r="AP53" s="121">
        <v>11</v>
      </c>
      <c r="AQ53" s="123">
        <v>2000</v>
      </c>
      <c r="AR53" s="123">
        <v>6000</v>
      </c>
      <c r="AS53" s="123">
        <v>2000</v>
      </c>
      <c r="AT53" s="123">
        <v>6000</v>
      </c>
      <c r="AU53" s="121"/>
      <c r="AV53" s="121"/>
      <c r="AW53" s="122"/>
    </row>
    <row r="54" spans="1:49" ht="13.15" customHeight="1">
      <c r="G54" s="55" t="s">
        <v>105</v>
      </c>
      <c r="I54" s="57"/>
      <c r="J54" s="55">
        <f>SD_Z1</f>
        <v>13.3</v>
      </c>
      <c r="K54" s="72" t="s">
        <v>106</v>
      </c>
      <c r="L54" s="30"/>
      <c r="M54" s="131"/>
      <c r="N54" s="128"/>
      <c r="O54" s="128"/>
      <c r="P54" s="131"/>
      <c r="Q54" s="132"/>
      <c r="R54" s="128"/>
      <c r="S54" s="132"/>
      <c r="T54" s="128"/>
      <c r="U54" s="133"/>
      <c r="V54" s="57"/>
      <c r="AE54" s="55"/>
      <c r="AF54" s="55"/>
      <c r="AG54" s="55"/>
      <c r="AH54" s="55"/>
      <c r="AM54" s="121"/>
      <c r="AN54" s="121"/>
      <c r="AO54" s="121"/>
      <c r="AP54" s="121">
        <v>12</v>
      </c>
      <c r="AQ54" s="123">
        <v>3000</v>
      </c>
      <c r="AR54" s="123">
        <v>8400</v>
      </c>
      <c r="AS54" s="123">
        <v>3000</v>
      </c>
      <c r="AT54" s="123">
        <v>8400</v>
      </c>
      <c r="AU54" s="121"/>
      <c r="AV54" s="121"/>
      <c r="AW54" s="122"/>
    </row>
    <row r="55" spans="1:49" ht="13.15" customHeight="1">
      <c r="B55" s="130" t="s">
        <v>42</v>
      </c>
      <c r="C55" s="57"/>
      <c r="D55" s="55"/>
      <c r="E55" s="56"/>
      <c r="G55" s="55" t="s">
        <v>108</v>
      </c>
      <c r="I55" s="57"/>
      <c r="J55" s="55">
        <f>ROUNDUP((SD_ZinstPH+SD_ZinstCPC),2)</f>
        <v>33.199999999999996</v>
      </c>
      <c r="K55" s="72" t="s">
        <v>106</v>
      </c>
      <c r="L55" s="30"/>
      <c r="M55" s="131"/>
      <c r="N55" s="128"/>
      <c r="O55" s="128"/>
      <c r="P55" s="131"/>
      <c r="Q55" s="132"/>
      <c r="R55" s="128"/>
      <c r="S55" s="132"/>
      <c r="T55" s="128"/>
      <c r="U55" s="128"/>
      <c r="V55" s="57"/>
      <c r="AE55" s="55"/>
      <c r="AF55" s="55"/>
      <c r="AG55" s="55"/>
      <c r="AH55" s="55"/>
      <c r="AM55" s="121"/>
      <c r="AN55" s="121"/>
      <c r="AO55" s="121"/>
      <c r="AP55" s="121">
        <v>13</v>
      </c>
      <c r="AQ55" s="123">
        <v>4000</v>
      </c>
      <c r="AR55" s="123">
        <v>10000</v>
      </c>
      <c r="AS55" s="123">
        <v>4000</v>
      </c>
      <c r="AT55" s="123">
        <v>10000</v>
      </c>
      <c r="AU55" s="121"/>
      <c r="AV55" s="121"/>
      <c r="AW55" s="122"/>
    </row>
    <row r="56" spans="1:49" ht="13.15" customHeight="1">
      <c r="B56" s="129" t="s">
        <v>47</v>
      </c>
      <c r="C56" s="57"/>
      <c r="D56" s="300">
        <f>P18</f>
        <v>7.56</v>
      </c>
      <c r="E56" s="286"/>
      <c r="G56" s="55" t="s">
        <v>64</v>
      </c>
      <c r="I56" s="57"/>
      <c r="J56" s="110">
        <f>AQ61</f>
        <v>298.88857529557333</v>
      </c>
      <c r="K56" s="56" t="s">
        <v>56</v>
      </c>
      <c r="L56" s="30" t="s">
        <v>130</v>
      </c>
      <c r="M56" s="131"/>
      <c r="N56" s="128"/>
      <c r="O56" s="128"/>
      <c r="P56" s="131"/>
      <c r="Q56" s="132"/>
      <c r="R56" s="128"/>
      <c r="S56" s="132"/>
      <c r="T56" s="128"/>
      <c r="U56" s="128"/>
      <c r="V56" s="57"/>
      <c r="AE56" s="55"/>
      <c r="AM56" s="121"/>
      <c r="AN56" s="121"/>
      <c r="AO56" s="121"/>
      <c r="AP56" s="121"/>
      <c r="AQ56" s="124"/>
      <c r="AR56" s="124"/>
      <c r="AS56" s="121"/>
      <c r="AT56" s="121"/>
      <c r="AU56" s="121"/>
      <c r="AV56" s="121"/>
      <c r="AW56" s="122"/>
    </row>
    <row r="57" spans="1:49" ht="13.15" customHeight="1" thickBot="1">
      <c r="B57" s="129" t="s">
        <v>53</v>
      </c>
      <c r="C57" s="57"/>
      <c r="D57" s="295">
        <f>SUM(N18:N37)</f>
        <v>46.2</v>
      </c>
      <c r="E57" s="286"/>
      <c r="F57" s="57"/>
      <c r="G57" s="55" t="s">
        <v>110</v>
      </c>
      <c r="I57" s="57"/>
      <c r="J57" s="110">
        <f>AU76</f>
        <v>300</v>
      </c>
      <c r="K57" s="56"/>
      <c r="L57" s="289" t="s">
        <v>135</v>
      </c>
      <c r="M57" s="296"/>
      <c r="N57" s="296"/>
      <c r="O57" s="296"/>
      <c r="P57" s="296"/>
      <c r="Q57" s="296"/>
      <c r="R57" s="296"/>
      <c r="S57" s="296"/>
      <c r="T57" s="296"/>
      <c r="U57" s="296"/>
      <c r="V57" s="57"/>
      <c r="AE57" s="55"/>
      <c r="AM57" s="121"/>
      <c r="AN57" s="121"/>
      <c r="AV57" s="121"/>
      <c r="AW57" s="122"/>
    </row>
    <row r="58" spans="1:49" ht="13.15" customHeight="1">
      <c r="B58" s="129" t="s">
        <v>57</v>
      </c>
      <c r="C58" s="57"/>
      <c r="D58" s="297">
        <f>X46</f>
        <v>0.87</v>
      </c>
      <c r="E58" s="298"/>
      <c r="G58" s="55" t="s">
        <v>111</v>
      </c>
      <c r="I58" s="57"/>
      <c r="J58" s="110">
        <f>143^2*SD_csa^2</f>
        <v>46010.25</v>
      </c>
      <c r="K58" s="56"/>
      <c r="L58" s="289" t="s">
        <v>182</v>
      </c>
      <c r="M58" s="290"/>
      <c r="N58" s="290"/>
      <c r="O58" s="290"/>
      <c r="P58" s="290"/>
      <c r="Q58" s="290"/>
      <c r="R58" s="290"/>
      <c r="S58" s="290"/>
      <c r="T58" s="290"/>
      <c r="U58" s="290"/>
      <c r="V58" s="57"/>
      <c r="AE58" s="55"/>
      <c r="AM58" s="135"/>
      <c r="AN58" s="136"/>
      <c r="AO58" s="136"/>
      <c r="AP58" s="137" t="s">
        <v>149</v>
      </c>
      <c r="AQ58" s="138">
        <f>U18</f>
        <v>800</v>
      </c>
      <c r="AR58" s="139"/>
      <c r="AS58" s="136"/>
      <c r="AT58" s="136"/>
      <c r="AU58" s="136"/>
      <c r="AV58" s="140"/>
      <c r="AW58" s="122"/>
    </row>
    <row r="59" spans="1:49" ht="13.15" customHeight="1">
      <c r="B59" s="129" t="s">
        <v>64</v>
      </c>
      <c r="C59" s="57"/>
      <c r="D59" s="299">
        <f>Y46</f>
        <v>298.88857529557333</v>
      </c>
      <c r="E59" s="286"/>
      <c r="G59" s="54" t="s">
        <v>113</v>
      </c>
      <c r="I59" s="57"/>
      <c r="J59" s="113" t="str">
        <f>Max_CPD2</f>
        <v>ü</v>
      </c>
      <c r="K59" s="56"/>
      <c r="L59" s="289" t="s">
        <v>141</v>
      </c>
      <c r="M59" s="290"/>
      <c r="N59" s="290"/>
      <c r="O59" s="290"/>
      <c r="P59" s="290"/>
      <c r="Q59" s="290"/>
      <c r="R59" s="290"/>
      <c r="S59" s="290"/>
      <c r="T59" s="290"/>
      <c r="U59" s="290"/>
      <c r="V59" s="57"/>
      <c r="AE59" s="55"/>
      <c r="AM59" s="141"/>
      <c r="AN59" s="142"/>
      <c r="AO59" s="142"/>
      <c r="AP59" s="143" t="s">
        <v>150</v>
      </c>
      <c r="AQ59" s="144">
        <f>U19</f>
        <v>800.00000000000011</v>
      </c>
      <c r="AR59" s="145"/>
      <c r="AS59" s="292" t="s">
        <v>159</v>
      </c>
      <c r="AT59" s="292"/>
      <c r="AU59" s="292"/>
      <c r="AV59" s="146"/>
      <c r="AW59" s="122"/>
    </row>
    <row r="60" spans="1:49" ht="13.15" customHeight="1">
      <c r="B60" s="129" t="s">
        <v>45</v>
      </c>
      <c r="C60" s="57"/>
      <c r="D60" s="293">
        <f>SUM(Q18:Q37)</f>
        <v>3.0566</v>
      </c>
      <c r="E60" s="286"/>
      <c r="L60" s="289" t="s">
        <v>183</v>
      </c>
      <c r="M60" s="290"/>
      <c r="N60" s="290"/>
      <c r="O60" s="290"/>
      <c r="P60" s="290"/>
      <c r="Q60" s="290"/>
      <c r="R60" s="290"/>
      <c r="S60" s="290"/>
      <c r="T60" s="290"/>
      <c r="U60" s="290"/>
      <c r="V60" s="57"/>
      <c r="AE60" s="55"/>
      <c r="AM60" s="141"/>
      <c r="AN60" s="142"/>
      <c r="AO60" s="142"/>
      <c r="AP60" s="143" t="s">
        <v>151</v>
      </c>
      <c r="AQ60" s="144">
        <f>Y46</f>
        <v>298.88857529557333</v>
      </c>
      <c r="AR60" s="145"/>
      <c r="AS60" s="142"/>
      <c r="AT60" s="142"/>
      <c r="AU60" s="142"/>
      <c r="AV60" s="146"/>
      <c r="AW60" s="122"/>
    </row>
    <row r="61" spans="1:49" ht="13.15" customHeight="1">
      <c r="B61" s="129" t="s">
        <v>58</v>
      </c>
      <c r="C61" s="57"/>
      <c r="D61" s="293">
        <f ca="1">V_Source-D60</f>
        <v>221.9984</v>
      </c>
      <c r="E61" s="294"/>
      <c r="L61" s="289"/>
      <c r="M61" s="290"/>
      <c r="N61" s="290"/>
      <c r="O61" s="290"/>
      <c r="P61" s="290"/>
      <c r="Q61" s="290"/>
      <c r="R61" s="290"/>
      <c r="S61" s="290"/>
      <c r="T61" s="290"/>
      <c r="U61" s="290"/>
      <c r="V61" s="57"/>
      <c r="AE61" s="55"/>
      <c r="AM61" s="141"/>
      <c r="AN61" s="142"/>
      <c r="AO61" s="142"/>
      <c r="AP61" s="142" t="s">
        <v>152</v>
      </c>
      <c r="AQ61" s="144">
        <f>AQ60</f>
        <v>298.88857529557333</v>
      </c>
      <c r="AR61" s="145"/>
      <c r="AS61" s="142"/>
      <c r="AT61" s="142"/>
      <c r="AU61" s="142"/>
      <c r="AV61" s="146"/>
      <c r="AW61" s="122"/>
    </row>
    <row r="62" spans="1:49" ht="12.6" customHeight="1">
      <c r="AE62" s="55"/>
      <c r="AM62" s="141"/>
      <c r="AN62" s="142"/>
      <c r="AO62" s="142"/>
      <c r="AP62" s="142"/>
      <c r="AQ62" s="143" t="s">
        <v>153</v>
      </c>
      <c r="AR62" s="142"/>
      <c r="AS62" s="142" t="s">
        <v>154</v>
      </c>
      <c r="AT62" s="142"/>
      <c r="AU62" s="142" t="s">
        <v>155</v>
      </c>
      <c r="AV62" s="146"/>
      <c r="AW62" s="122"/>
    </row>
    <row r="63" spans="1:49" ht="12.6" customHeight="1">
      <c r="AE63" s="55"/>
      <c r="AK63" s="32"/>
      <c r="AM63" s="141"/>
      <c r="AN63" s="142"/>
      <c r="AO63" s="142"/>
      <c r="AP63" s="142">
        <v>13</v>
      </c>
      <c r="AQ63" s="143">
        <f>IF($AQ$58&gt;4000,AR55,0)</f>
        <v>0</v>
      </c>
      <c r="AR63" s="142"/>
      <c r="AS63" s="143">
        <f>IF($AQ$59&gt;4000,AT55,0)</f>
        <v>0</v>
      </c>
      <c r="AT63" s="142"/>
      <c r="AU63" s="143">
        <f>IF($AQ$60&gt;4000,AT55,0)</f>
        <v>0</v>
      </c>
      <c r="AV63" s="146"/>
      <c r="AW63" s="122"/>
    </row>
    <row r="64" spans="1:49" ht="12.6" customHeight="1">
      <c r="AE64" s="55"/>
      <c r="AK64" s="32"/>
      <c r="AM64" s="141"/>
      <c r="AN64" s="142"/>
      <c r="AO64" s="142"/>
      <c r="AP64" s="142">
        <v>12</v>
      </c>
      <c r="AQ64" s="143">
        <f>IF(AND($AQ$58&gt;=3000,$AQ$58&lt;4000),AR5:AR54,0)</f>
        <v>0</v>
      </c>
      <c r="AR64" s="142"/>
      <c r="AS64" s="143">
        <f>IF(AND($AQ$59&gt;=3000,$AQ$59&lt;4000),AT5:AT54,0)</f>
        <v>0</v>
      </c>
      <c r="AT64" s="142"/>
      <c r="AU64" s="143">
        <f>IF(AND($AQ$60&gt;=3000,$AQ$60&lt;4000),AT5:AT54,0)</f>
        <v>0</v>
      </c>
      <c r="AV64" s="146"/>
      <c r="AW64" s="122"/>
    </row>
    <row r="65" spans="31:49" ht="12.6" customHeight="1">
      <c r="AE65" s="55"/>
      <c r="AM65" s="141"/>
      <c r="AN65" s="142"/>
      <c r="AO65" s="142"/>
      <c r="AP65" s="142">
        <v>11</v>
      </c>
      <c r="AQ65" s="143">
        <f>IF(AND($AQ$58&gt;=2000,$AQ$58&lt;3000),AR53,0)</f>
        <v>0</v>
      </c>
      <c r="AR65" s="142"/>
      <c r="AS65" s="143">
        <f>IF(AND($AQ$59&gt;=2000,$AQ$59&lt;3000),AT53,0)</f>
        <v>0</v>
      </c>
      <c r="AT65" s="142"/>
      <c r="AU65" s="143">
        <f>IF(AND($AQ$60&gt;=2000,$AQ$60&lt;3000),AT53,0)</f>
        <v>0</v>
      </c>
      <c r="AV65" s="146"/>
      <c r="AW65" s="122"/>
    </row>
    <row r="66" spans="31:49" ht="12.6" customHeight="1">
      <c r="AE66" s="55"/>
      <c r="AM66" s="147"/>
      <c r="AN66" s="148"/>
      <c r="AO66" s="142"/>
      <c r="AP66" s="142">
        <v>10</v>
      </c>
      <c r="AQ66" s="143">
        <f>IF(AND($AQ$58&gt;=1000,$AQ$58&lt;2000),AR52,0)</f>
        <v>0</v>
      </c>
      <c r="AR66" s="142"/>
      <c r="AS66" s="143">
        <f>IF(AND($AQ$59&gt;=1000,$AQ$59&lt;2000),AT52,0)</f>
        <v>0</v>
      </c>
      <c r="AT66" s="142"/>
      <c r="AU66" s="143">
        <f>IF(AND($AQ$60&gt;=1000,$AQ$60&lt;2000),AT52,0)</f>
        <v>0</v>
      </c>
      <c r="AV66" s="146"/>
    </row>
    <row r="67" spans="31:49" ht="12.6" customHeight="1">
      <c r="AE67" s="55"/>
      <c r="AM67" s="147"/>
      <c r="AN67" s="148"/>
      <c r="AO67" s="148"/>
      <c r="AP67" s="142">
        <v>9</v>
      </c>
      <c r="AQ67" s="143">
        <f>IF(AND($AQ$58&gt;=900,$AQ$58&lt;1000),AR51,0)</f>
        <v>0</v>
      </c>
      <c r="AR67" s="142"/>
      <c r="AS67" s="143">
        <f>IF(AND($AQ$59&gt;=900,$AQ$59&lt;1000),AT51,0)</f>
        <v>0</v>
      </c>
      <c r="AT67" s="148"/>
      <c r="AU67" s="143">
        <f>IF(AND($AQ$60&gt;=900,$AQ$60&lt;1000),AT51,0)</f>
        <v>0</v>
      </c>
      <c r="AV67" s="146"/>
    </row>
    <row r="68" spans="31:49" ht="12.6" customHeight="1">
      <c r="AM68" s="147"/>
      <c r="AN68" s="148"/>
      <c r="AO68" s="148"/>
      <c r="AP68" s="142">
        <v>8</v>
      </c>
      <c r="AQ68" s="143">
        <f>IF(AND($AQ$58&gt;=800,$AQ$58&lt;900),AR50,0)</f>
        <v>2100</v>
      </c>
      <c r="AR68" s="142"/>
      <c r="AS68" s="143">
        <f>IF(AND($AQ$59&gt;=800,$AQ$59&lt;900),AT50,0)</f>
        <v>2100</v>
      </c>
      <c r="AT68" s="148"/>
      <c r="AU68" s="143">
        <f>IF(AND($AQ$60&gt;=800,$AQ$60&lt;900),AT50,0)</f>
        <v>0</v>
      </c>
      <c r="AV68" s="146"/>
    </row>
    <row r="69" spans="31:49" ht="12.6" customHeight="1">
      <c r="AM69" s="147"/>
      <c r="AN69" s="148"/>
      <c r="AO69" s="148"/>
      <c r="AP69" s="142">
        <v>7</v>
      </c>
      <c r="AQ69" s="143">
        <f>IF(AND($AQ$58&gt;=700,$AQ$58&lt;800),AR49,0)</f>
        <v>0</v>
      </c>
      <c r="AR69" s="142"/>
      <c r="AS69" s="143">
        <f>IF(AND($AQ$59&gt;=700,$AQ$59&lt;800),AT49,0)</f>
        <v>0</v>
      </c>
      <c r="AT69" s="148"/>
      <c r="AU69" s="143">
        <f>IF(AND($AQ$60&gt;=700,$AQ$60&lt;800),AT49,0)</f>
        <v>0</v>
      </c>
      <c r="AV69" s="146"/>
    </row>
    <row r="70" spans="31:49" ht="12.6" customHeight="1">
      <c r="AM70" s="147"/>
      <c r="AN70" s="148"/>
      <c r="AO70" s="148"/>
      <c r="AP70" s="142">
        <v>6</v>
      </c>
      <c r="AQ70" s="143">
        <f>IF(AND($AQ$58&gt;=600,$AQ$58&lt;700),AR48,0)</f>
        <v>0</v>
      </c>
      <c r="AR70" s="142"/>
      <c r="AS70" s="143">
        <f>IF(AND($AQ$59&gt;=600,$AQ$59&lt;700),AT48,0)</f>
        <v>0</v>
      </c>
      <c r="AT70" s="148"/>
      <c r="AU70" s="143">
        <f>IF(AND($AQ$60&gt;=600,$AQ$60&lt;700),AT48,0)</f>
        <v>0</v>
      </c>
      <c r="AV70" s="146"/>
    </row>
    <row r="71" spans="31:49" ht="12.6" customHeight="1">
      <c r="AM71" s="147"/>
      <c r="AN71" s="148"/>
      <c r="AO71" s="148"/>
      <c r="AP71" s="142">
        <v>5</v>
      </c>
      <c r="AQ71" s="143">
        <f>IF(AND($AQ$58&gt;=500,$AQ$58&lt;600),AR47,0)</f>
        <v>0</v>
      </c>
      <c r="AR71" s="142"/>
      <c r="AS71" s="143">
        <f>IF(AND($AQ$59&gt;=500,$AQ$59&lt;600),AT47,0)</f>
        <v>0</v>
      </c>
      <c r="AT71" s="148"/>
      <c r="AU71" s="143">
        <f>IF(AND($AQ$60&gt;=500,$AQ$60&lt;600),AT47,0)</f>
        <v>0</v>
      </c>
      <c r="AV71" s="146"/>
    </row>
    <row r="72" spans="31:49" ht="12.6" customHeight="1">
      <c r="AM72" s="147"/>
      <c r="AN72" s="148"/>
      <c r="AO72" s="148"/>
      <c r="AP72" s="142">
        <v>4</v>
      </c>
      <c r="AQ72" s="143">
        <f>IF(AND($AQ$58&gt;=400,$AQ$58&lt;500),AR46,0)</f>
        <v>0</v>
      </c>
      <c r="AR72" s="142"/>
      <c r="AS72" s="143">
        <f>IF(AND($AQ$59&gt;=400,$AQ$59&lt;500),AT46,0)</f>
        <v>0</v>
      </c>
      <c r="AT72" s="148"/>
      <c r="AU72" s="143">
        <f>IF(AND($AQ$60&gt;=400,$AQ$60&lt;500),AT46,0)</f>
        <v>0</v>
      </c>
      <c r="AV72" s="146"/>
    </row>
    <row r="73" spans="31:49" ht="12.6" customHeight="1">
      <c r="AM73" s="147"/>
      <c r="AN73" s="148"/>
      <c r="AO73" s="148"/>
      <c r="AP73" s="142">
        <v>3</v>
      </c>
      <c r="AQ73" s="143">
        <f>IF(AND($AQ$58&gt;=300,$AQ$58&lt;400),AR45,0)</f>
        <v>0</v>
      </c>
      <c r="AR73" s="142"/>
      <c r="AS73" s="143">
        <f>IF(AND($AQ$59&gt;=300,$AQ$59&lt;400),AT45,0)</f>
        <v>0</v>
      </c>
      <c r="AT73" s="148"/>
      <c r="AU73" s="143">
        <f>IF(AND($AQ$60&gt;=300,$AQ$60&lt;400),AT45,0)</f>
        <v>0</v>
      </c>
      <c r="AV73" s="146"/>
    </row>
    <row r="74" spans="31:49" ht="12.6" customHeight="1">
      <c r="AM74" s="147"/>
      <c r="AN74" s="148"/>
      <c r="AO74" s="148"/>
      <c r="AP74" s="142">
        <v>2</v>
      </c>
      <c r="AQ74" s="143">
        <f>IF(AND($AQ$58&gt;=200,$AQ$58&lt;300),AR44,0)</f>
        <v>0</v>
      </c>
      <c r="AR74" s="142"/>
      <c r="AS74" s="143">
        <f>IF(AND($AQ$59&gt;=200,$AQ$59&lt;300),AT44,0)</f>
        <v>0</v>
      </c>
      <c r="AT74" s="148"/>
      <c r="AU74" s="143">
        <f>IF(AND($AQ$60&gt;=200,$AQ$60&lt;300),AT44,0)</f>
        <v>300</v>
      </c>
      <c r="AV74" s="146"/>
    </row>
    <row r="75" spans="31:49" ht="12.6" customHeight="1">
      <c r="AF75" s="56"/>
      <c r="AG75" s="55"/>
      <c r="AM75" s="147"/>
      <c r="AN75" s="148"/>
      <c r="AO75" s="148"/>
      <c r="AP75" s="142">
        <v>1</v>
      </c>
      <c r="AQ75" s="143">
        <f>IF(AND($AQ$58&gt;=100,$AQ$58&lt;200),AR43,0)</f>
        <v>0</v>
      </c>
      <c r="AR75" s="142"/>
      <c r="AS75" s="143">
        <f>IF(AND($AQ$59&gt;=100,$AQ$59&lt;200),AT43,0)</f>
        <v>0</v>
      </c>
      <c r="AT75" s="148"/>
      <c r="AU75" s="143">
        <f>IF(AND($AQ$60&gt;=100,$AQ$60&lt;200),AT43,0)</f>
        <v>0</v>
      </c>
      <c r="AV75" s="146"/>
    </row>
    <row r="76" spans="31:49" ht="12.6" customHeight="1">
      <c r="AF76" s="55"/>
      <c r="AG76" s="55"/>
      <c r="AM76" s="147"/>
      <c r="AN76" s="148"/>
      <c r="AO76" s="148"/>
      <c r="AP76" s="142" t="s">
        <v>156</v>
      </c>
      <c r="AQ76" s="143">
        <f>SUM(AQ63:AQ75)</f>
        <v>2100</v>
      </c>
      <c r="AR76" s="142"/>
      <c r="AS76" s="143">
        <f>SUM(AS63:AS75)</f>
        <v>2100</v>
      </c>
      <c r="AT76" s="148"/>
      <c r="AU76" s="143">
        <f>SUM(AU63:AU75)</f>
        <v>300</v>
      </c>
      <c r="AV76" s="146"/>
    </row>
    <row r="77" spans="31:49" ht="12.6" customHeight="1" thickBot="1">
      <c r="AF77" s="55"/>
      <c r="AG77" s="55"/>
      <c r="AM77" s="149"/>
      <c r="AN77" s="150"/>
      <c r="AO77" s="150"/>
      <c r="AP77" s="150"/>
      <c r="AQ77" s="151"/>
      <c r="AR77" s="150"/>
      <c r="AS77" s="150"/>
      <c r="AT77" s="150"/>
      <c r="AU77" s="150"/>
      <c r="AV77" s="152"/>
    </row>
    <row r="78" spans="31:49" ht="12.6" customHeight="1">
      <c r="AF78" s="55"/>
      <c r="AG78" s="55"/>
    </row>
    <row r="79" spans="31:49" ht="12.6" customHeight="1">
      <c r="AF79" s="55"/>
      <c r="AG79" s="55"/>
    </row>
    <row r="80" spans="31:49" ht="12.6" customHeight="1">
      <c r="AF80" s="55"/>
      <c r="AG80" s="55"/>
    </row>
    <row r="81" spans="32:36" ht="12.6" customHeight="1">
      <c r="AF81" s="55"/>
      <c r="AG81" s="55"/>
      <c r="AH81" s="55"/>
      <c r="AI81" s="55"/>
      <c r="AJ81" s="55"/>
    </row>
    <row r="82" spans="32:36" ht="12.6" customHeight="1">
      <c r="AF82" s="55"/>
      <c r="AG82" s="55"/>
      <c r="AH82" s="55"/>
      <c r="AI82" s="55"/>
      <c r="AJ82" s="55"/>
    </row>
    <row r="83" spans="32:36" ht="12.6" customHeight="1">
      <c r="AF83" s="55"/>
      <c r="AG83" s="55"/>
      <c r="AH83" s="55"/>
      <c r="AI83" s="55"/>
      <c r="AJ83" s="55"/>
    </row>
    <row r="84" spans="32:36" ht="12.6" customHeight="1">
      <c r="AF84" s="55"/>
      <c r="AG84" s="55"/>
      <c r="AH84" s="55"/>
      <c r="AI84" s="55"/>
      <c r="AJ84" s="55"/>
    </row>
    <row r="85" spans="32:36" ht="12.6" customHeight="1">
      <c r="AF85" s="55"/>
      <c r="AG85" s="55"/>
      <c r="AH85" s="55"/>
      <c r="AI85" s="55"/>
      <c r="AJ85" s="55"/>
    </row>
    <row r="86" spans="32:36" ht="12.6" customHeight="1">
      <c r="AF86" s="55"/>
      <c r="AG86" s="55"/>
      <c r="AH86" s="55"/>
      <c r="AI86" s="55"/>
      <c r="AJ86" s="55"/>
    </row>
    <row r="87" spans="32:36" ht="12.6" customHeight="1">
      <c r="AF87" s="55"/>
      <c r="AG87" s="55"/>
      <c r="AH87" s="55"/>
      <c r="AI87" s="55"/>
      <c r="AJ87" s="55"/>
    </row>
    <row r="88" spans="32:36" ht="12.6" customHeight="1"/>
    <row r="89" spans="32:36" ht="12.6" customHeight="1">
      <c r="AF89" s="55"/>
      <c r="AG89" s="55"/>
      <c r="AH89" s="55"/>
    </row>
    <row r="90" spans="32:36" ht="12.6" customHeight="1">
      <c r="AF90" s="55"/>
      <c r="AG90" s="55"/>
      <c r="AH90" s="55"/>
    </row>
    <row r="91" spans="32:36" ht="12.6" customHeight="1">
      <c r="AF91" s="55"/>
      <c r="AG91" s="55"/>
      <c r="AH91" s="55"/>
    </row>
    <row r="92" spans="32:36" ht="12.6" customHeight="1">
      <c r="AF92" s="55"/>
      <c r="AG92" s="55"/>
      <c r="AH92" s="55"/>
    </row>
    <row r="93" spans="32:36" ht="12.6" customHeight="1">
      <c r="AF93" s="55"/>
      <c r="AG93" s="55"/>
      <c r="AH93" s="55"/>
    </row>
    <row r="94" spans="32:36" ht="12.6" customHeight="1">
      <c r="AF94" s="41"/>
      <c r="AG94" s="41"/>
    </row>
    <row r="95" spans="32:36" ht="12.6" customHeight="1">
      <c r="AF95" s="41"/>
      <c r="AG95" s="41"/>
    </row>
    <row r="96" spans="32:36" ht="12.6" customHeight="1">
      <c r="AF96" s="41"/>
      <c r="AG96" s="41"/>
    </row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spans="1:10" ht="12.6" customHeight="1">
      <c r="A113" s="289"/>
      <c r="B113" s="290"/>
      <c r="C113" s="290"/>
      <c r="D113" s="290"/>
      <c r="E113" s="290"/>
      <c r="F113" s="290"/>
      <c r="G113" s="290"/>
      <c r="H113" s="290"/>
      <c r="I113" s="290"/>
      <c r="J113" s="290"/>
    </row>
    <row r="114" spans="1:10" ht="12.6" customHeight="1">
      <c r="A114" s="289"/>
      <c r="B114" s="290"/>
      <c r="C114" s="290"/>
      <c r="D114" s="290"/>
      <c r="E114" s="290"/>
      <c r="F114" s="290"/>
      <c r="G114" s="290"/>
      <c r="H114" s="290"/>
      <c r="I114" s="290"/>
      <c r="J114" s="290"/>
    </row>
    <row r="115" spans="1:10" ht="12.6" customHeight="1">
      <c r="A115" s="289"/>
      <c r="B115" s="290"/>
      <c r="C115" s="290"/>
      <c r="D115" s="290"/>
      <c r="E115" s="290"/>
      <c r="F115" s="290"/>
      <c r="G115" s="290"/>
      <c r="H115" s="290"/>
      <c r="I115" s="290"/>
      <c r="J115" s="290"/>
    </row>
    <row r="116" spans="1:10" ht="12.6" customHeight="1">
      <c r="A116" s="289"/>
      <c r="B116" s="290"/>
      <c r="C116" s="290"/>
      <c r="D116" s="290"/>
      <c r="E116" s="290"/>
      <c r="F116" s="290"/>
      <c r="G116" s="290"/>
      <c r="H116" s="290"/>
      <c r="I116" s="290"/>
      <c r="J116" s="290"/>
    </row>
    <row r="117" spans="1:10" ht="12.6" customHeight="1"/>
    <row r="118" spans="1:10" ht="12.6" customHeight="1"/>
    <row r="119" spans="1:10" ht="12.6" customHeight="1"/>
    <row r="120" spans="1:10" ht="12.6" customHeight="1"/>
    <row r="121" spans="1:10" ht="12.6" customHeight="1"/>
    <row r="122" spans="1:10" ht="12.6" customHeight="1"/>
    <row r="123" spans="1:10" ht="12.6" customHeight="1"/>
    <row r="124" spans="1:10" ht="12.6" customHeight="1">
      <c r="E124" s="7"/>
    </row>
    <row r="125" spans="1:10" ht="12.6" customHeight="1"/>
    <row r="126" spans="1:10" ht="12.6" customHeight="1"/>
    <row r="127" spans="1:10" ht="12.6" customHeight="1"/>
    <row r="128" spans="1:10" ht="12.6" customHeight="1">
      <c r="D128" s="117"/>
    </row>
    <row r="129" spans="4:28" ht="12.6" customHeight="1">
      <c r="D129" s="117"/>
    </row>
    <row r="130" spans="4:28" ht="12.6" customHeight="1">
      <c r="D130" s="117"/>
    </row>
    <row r="131" spans="4:28" ht="12.6" customHeight="1">
      <c r="D131" s="117"/>
    </row>
    <row r="132" spans="4:28" ht="12.6" customHeight="1">
      <c r="D132" s="117"/>
      <c r="E132" s="7"/>
    </row>
    <row r="133" spans="4:28" ht="12.6" customHeight="1">
      <c r="D133" s="117"/>
      <c r="E133" s="7"/>
    </row>
    <row r="134" spans="4:28" ht="12.6" customHeight="1">
      <c r="D134" s="117"/>
      <c r="E134" s="7"/>
    </row>
    <row r="135" spans="4:28" ht="12.6" customHeight="1">
      <c r="D135" s="117"/>
      <c r="E135" s="7"/>
    </row>
    <row r="136" spans="4:28" ht="12.6" customHeight="1">
      <c r="D136" s="117"/>
      <c r="E136" s="7"/>
    </row>
    <row r="137" spans="4:28" ht="12.6" customHeight="1">
      <c r="D137" s="117"/>
      <c r="E137" s="7"/>
    </row>
    <row r="138" spans="4:28" ht="12.6" customHeight="1">
      <c r="D138" s="117"/>
      <c r="E138" s="7"/>
      <c r="F138" s="289"/>
      <c r="G138" s="291"/>
      <c r="H138" s="291"/>
      <c r="I138" s="291"/>
      <c r="J138" s="291"/>
      <c r="K138" s="291"/>
      <c r="L138" s="291"/>
      <c r="M138" s="291"/>
      <c r="N138" s="291"/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291"/>
      <c r="AA138" s="291"/>
      <c r="AB138" s="291"/>
    </row>
    <row r="139" spans="4:28" ht="12.6" customHeight="1">
      <c r="E139" s="7"/>
      <c r="F139" s="289"/>
      <c r="G139" s="291"/>
      <c r="H139" s="291"/>
      <c r="I139" s="291"/>
      <c r="J139" s="291"/>
      <c r="K139" s="291"/>
      <c r="L139" s="291"/>
      <c r="M139" s="291"/>
      <c r="N139" s="291"/>
      <c r="O139" s="291"/>
      <c r="P139" s="291"/>
      <c r="Q139" s="291"/>
      <c r="R139" s="291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</row>
    <row r="140" spans="4:28" ht="12.6" customHeight="1">
      <c r="G140" s="126"/>
      <c r="H140" s="126"/>
      <c r="I140" s="126"/>
      <c r="J140" s="126"/>
      <c r="K140" s="126"/>
      <c r="AB140" s="126"/>
    </row>
    <row r="141" spans="4:28" ht="12.6" customHeight="1"/>
    <row r="142" spans="4:28" ht="12.6" customHeight="1"/>
    <row r="143" spans="4:28" ht="12.6" customHeight="1">
      <c r="J143" s="55"/>
      <c r="K143" s="55"/>
    </row>
    <row r="144" spans="4:28" ht="12.6" customHeight="1"/>
    <row r="145" spans="10:11" ht="12.6" customHeight="1"/>
    <row r="146" spans="10:11" ht="12.6" customHeight="1">
      <c r="J146" s="55"/>
      <c r="K146" s="55"/>
    </row>
    <row r="147" spans="10:11" ht="12.6" customHeight="1">
      <c r="J147" s="55"/>
      <c r="K147" s="55"/>
    </row>
    <row r="148" spans="10:11" ht="12.6" customHeight="1">
      <c r="J148" s="55"/>
      <c r="K148" s="55"/>
    </row>
    <row r="149" spans="10:11" ht="12.6" customHeight="1">
      <c r="J149" s="55"/>
      <c r="K149" s="55"/>
    </row>
    <row r="150" spans="10:11" ht="12.6" customHeight="1">
      <c r="J150" s="55"/>
      <c r="K150" s="55"/>
    </row>
    <row r="151" spans="10:11" ht="12.6" customHeight="1">
      <c r="J151" s="55"/>
      <c r="K151" s="55"/>
    </row>
    <row r="152" spans="10:11" ht="12.6" customHeight="1">
      <c r="J152" s="55"/>
      <c r="K152" s="55"/>
    </row>
    <row r="153" spans="10:11" ht="12.6" customHeight="1">
      <c r="J153" s="55"/>
      <c r="K153" s="55"/>
    </row>
    <row r="154" spans="10:11" ht="12.6" customHeight="1">
      <c r="J154" s="55"/>
      <c r="K154" s="55"/>
    </row>
    <row r="155" spans="10:11" ht="12.6" customHeight="1">
      <c r="J155" s="55"/>
      <c r="K155" s="55"/>
    </row>
    <row r="156" spans="10:11" ht="12.6" customHeight="1">
      <c r="J156" s="55"/>
      <c r="K156" s="55"/>
    </row>
    <row r="157" spans="10:11" ht="12.6" customHeight="1">
      <c r="J157" s="55"/>
      <c r="K157" s="55"/>
    </row>
    <row r="158" spans="10:11" ht="12.6" customHeight="1">
      <c r="J158" s="55"/>
      <c r="K158" s="55"/>
    </row>
    <row r="159" spans="10:11" ht="12.6" customHeight="1">
      <c r="J159" s="55"/>
      <c r="K159" s="55"/>
    </row>
    <row r="160" spans="10:11" ht="12.6" customHeight="1">
      <c r="J160" s="55"/>
      <c r="K160" s="55"/>
    </row>
    <row r="161" spans="10:28" ht="12.6" customHeight="1">
      <c r="J161" s="55"/>
      <c r="K161" s="55"/>
    </row>
    <row r="162" spans="10:28" ht="12.6" customHeight="1">
      <c r="J162" s="55"/>
      <c r="K162" s="55"/>
    </row>
    <row r="163" spans="10:28" ht="12.6" customHeight="1">
      <c r="J163" s="55"/>
      <c r="K163" s="55"/>
    </row>
    <row r="164" spans="10:28" ht="12.6" customHeight="1">
      <c r="J164" s="55"/>
      <c r="K164" s="55"/>
    </row>
    <row r="165" spans="10:28" ht="12.6" customHeight="1">
      <c r="J165" s="55"/>
      <c r="K165" s="55"/>
    </row>
    <row r="166" spans="10:28" ht="12.6" customHeight="1">
      <c r="J166" s="55"/>
      <c r="K166" s="55"/>
    </row>
    <row r="167" spans="10:28" ht="12.6" customHeight="1">
      <c r="J167" s="55"/>
      <c r="K167" s="55"/>
    </row>
    <row r="168" spans="10:28" ht="12.6" customHeight="1">
      <c r="J168" s="55"/>
      <c r="K168" s="55"/>
    </row>
    <row r="169" spans="10:28" ht="12.6" customHeight="1">
      <c r="J169" s="55"/>
      <c r="K169" s="55"/>
    </row>
    <row r="170" spans="10:28" ht="12.6" customHeight="1">
      <c r="J170" s="55"/>
      <c r="K170" s="55"/>
    </row>
    <row r="171" spans="10:28" ht="12.6" customHeight="1">
      <c r="J171" s="55"/>
      <c r="K171" s="55"/>
    </row>
    <row r="172" spans="10:28" ht="12.6" customHeight="1">
      <c r="J172" s="55"/>
      <c r="K172" s="55"/>
    </row>
    <row r="173" spans="10:28" ht="12.6" customHeight="1">
      <c r="J173" s="55"/>
      <c r="K173" s="55"/>
    </row>
    <row r="174" spans="10:28" ht="12.6" customHeight="1">
      <c r="J174" s="55"/>
      <c r="K174" s="55"/>
    </row>
    <row r="175" spans="10:28" ht="12.6" customHeight="1">
      <c r="K175" s="68"/>
      <c r="AB175" s="11"/>
    </row>
    <row r="176" spans="10:28" ht="12.6" customHeight="1">
      <c r="J176" s="127"/>
      <c r="K176" s="68"/>
      <c r="AB176" s="11"/>
    </row>
    <row r="177" spans="10:28" ht="12.6" customHeight="1">
      <c r="J177" s="281"/>
      <c r="K177" s="68"/>
      <c r="AB177" s="11"/>
    </row>
    <row r="178" spans="10:28" ht="12.6" customHeight="1"/>
    <row r="179" spans="10:28" ht="12.6" customHeight="1"/>
    <row r="180" spans="10:28" ht="12.6" customHeight="1"/>
    <row r="181" spans="10:28" ht="12.6" customHeight="1"/>
    <row r="182" spans="10:28" ht="12.6" customHeight="1"/>
    <row r="183" spans="10:28" ht="12.6" customHeight="1"/>
    <row r="184" spans="10:28" ht="12.6" customHeight="1"/>
    <row r="185" spans="10:28" ht="12.6" customHeight="1"/>
    <row r="186" spans="10:28" ht="12.6" customHeight="1"/>
    <row r="187" spans="10:28" ht="12.6" customHeight="1"/>
    <row r="188" spans="10:28" ht="12.6" customHeight="1"/>
    <row r="189" spans="10:28" ht="12.6" customHeight="1"/>
    <row r="190" spans="10:28" ht="12.6" customHeight="1"/>
    <row r="191" spans="10:28" ht="12.6" customHeight="1"/>
    <row r="192" spans="10:28" ht="12.6" customHeight="1"/>
    <row r="193" ht="12.6" customHeight="1"/>
    <row r="194" ht="12.6" customHeight="1"/>
    <row r="195" ht="12.6" customHeight="1"/>
    <row r="196" ht="12.6" customHeight="1"/>
    <row r="197" ht="12.6" customHeight="1"/>
    <row r="198" ht="12.6" customHeight="1"/>
    <row r="199" ht="12.6" customHeight="1"/>
    <row r="200" ht="12.6" customHeight="1"/>
    <row r="201" ht="12.6" customHeight="1"/>
    <row r="202" ht="12.6" customHeight="1"/>
    <row r="203" ht="12.6" customHeight="1"/>
    <row r="204" ht="12.6" customHeight="1"/>
    <row r="205" ht="12.6" customHeight="1"/>
    <row r="206" ht="12.6" customHeight="1"/>
    <row r="207" ht="12.6" customHeight="1"/>
    <row r="208" ht="12.6" customHeight="1"/>
    <row r="209" ht="12.6" customHeight="1"/>
    <row r="210" ht="12.6" customHeight="1"/>
    <row r="211" ht="12.6" customHeight="1"/>
    <row r="212" ht="12.6" customHeight="1"/>
    <row r="213" ht="12.6" customHeight="1"/>
    <row r="214" ht="12.6" customHeight="1"/>
    <row r="215" ht="12.6" customHeight="1"/>
    <row r="216" ht="12.6" customHeight="1"/>
    <row r="217" ht="12.6" customHeight="1"/>
    <row r="218" ht="12.6" customHeight="1"/>
    <row r="219" ht="12.6" customHeight="1"/>
    <row r="220" ht="12.6" customHeight="1"/>
    <row r="221" ht="12.6" customHeight="1"/>
    <row r="222" ht="12.6" customHeight="1"/>
    <row r="223" ht="12.6" customHeight="1"/>
    <row r="224" ht="12.6" customHeight="1"/>
    <row r="225" ht="12.6" customHeight="1"/>
    <row r="226" ht="12.6" customHeight="1"/>
    <row r="227" ht="12.6" customHeight="1"/>
    <row r="228" ht="12.6" customHeight="1"/>
    <row r="229" ht="12.6" customHeight="1"/>
    <row r="230" ht="12.6" customHeight="1"/>
    <row r="231" ht="12.6" customHeight="1"/>
    <row r="232" ht="12.6" customHeight="1"/>
    <row r="233" ht="12.6" customHeight="1"/>
    <row r="234" ht="12.6" customHeight="1"/>
    <row r="235" ht="12.6" customHeight="1"/>
    <row r="236" ht="12.6" customHeight="1"/>
    <row r="237" ht="12.6" customHeight="1"/>
    <row r="238" ht="12.6" customHeight="1"/>
    <row r="239" ht="12.6" customHeight="1"/>
    <row r="240" ht="12.6" customHeight="1"/>
    <row r="241" ht="12.6" customHeight="1"/>
    <row r="242" ht="12.6" customHeight="1"/>
    <row r="243" ht="12.6" customHeight="1"/>
    <row r="244" ht="12.6" customHeight="1"/>
    <row r="245" ht="12.6" customHeight="1"/>
    <row r="246" ht="12.6" customHeight="1"/>
    <row r="247" ht="12.6" customHeight="1"/>
    <row r="248" ht="12.6" customHeight="1"/>
    <row r="249" ht="12.6" customHeight="1"/>
    <row r="250" ht="12.6" customHeight="1"/>
    <row r="251" ht="12.6" customHeight="1"/>
    <row r="252" ht="12.6" customHeight="1"/>
    <row r="253" ht="12.6" customHeight="1"/>
    <row r="254" ht="12.6" customHeight="1"/>
    <row r="255" ht="12.6" customHeight="1"/>
    <row r="256" ht="12.6" customHeight="1"/>
    <row r="257" ht="12.6" customHeight="1"/>
    <row r="258" ht="12.6" customHeight="1"/>
    <row r="259" ht="12.6" customHeight="1"/>
    <row r="260" ht="12.6" customHeight="1"/>
    <row r="261" ht="12.6" customHeight="1"/>
    <row r="262" ht="12.6" customHeight="1"/>
    <row r="263" ht="12.6" customHeight="1"/>
    <row r="264" ht="12.6" customHeight="1"/>
    <row r="265" ht="12.6" customHeight="1"/>
    <row r="266" ht="12.6" customHeight="1"/>
    <row r="267" ht="12.6" customHeight="1"/>
    <row r="268" ht="12.6" customHeight="1"/>
    <row r="269" ht="12.6" customHeight="1"/>
    <row r="270" ht="12.6" customHeight="1"/>
    <row r="271" ht="12.6" customHeight="1"/>
    <row r="272" ht="12.6" customHeight="1"/>
    <row r="273" ht="12.6" customHeight="1"/>
    <row r="274" ht="12.6" customHeight="1"/>
    <row r="275" ht="12.6" customHeight="1"/>
    <row r="276" ht="12.6" customHeight="1"/>
    <row r="277" ht="12.6" customHeight="1"/>
    <row r="278" ht="12.6" customHeight="1"/>
    <row r="279" ht="12.6" customHeight="1"/>
    <row r="280" ht="12.6" customHeight="1"/>
    <row r="281" ht="12.6" customHeight="1"/>
    <row r="282" ht="12.6" customHeight="1"/>
    <row r="283" ht="12.6" customHeight="1"/>
    <row r="284" ht="12.6" customHeight="1"/>
    <row r="285" ht="12.6" customHeight="1"/>
    <row r="286" ht="12.6" customHeight="1"/>
    <row r="287" ht="12.6" customHeight="1"/>
    <row r="288" ht="12.6" customHeight="1"/>
    <row r="289" ht="12.6" customHeight="1"/>
    <row r="290" ht="12.6" customHeight="1"/>
    <row r="291" ht="12.6" customHeight="1"/>
    <row r="292" ht="12.6" customHeight="1"/>
    <row r="293" ht="12.6" customHeight="1"/>
    <row r="294" ht="12.6" customHeight="1"/>
    <row r="295" ht="12.6" customHeight="1"/>
    <row r="296" ht="12.6" customHeight="1"/>
    <row r="297" ht="12.6" customHeight="1"/>
    <row r="298" ht="12.6" customHeight="1"/>
    <row r="299" ht="12.6" customHeight="1"/>
    <row r="300" ht="12.6" customHeight="1"/>
    <row r="301" ht="12.6" customHeight="1"/>
    <row r="302" ht="12.6" customHeight="1"/>
    <row r="303" ht="12.6" customHeight="1"/>
    <row r="304" ht="12.6" customHeight="1"/>
    <row r="305" ht="12.6" customHeight="1"/>
    <row r="306" ht="12.6" customHeight="1"/>
    <row r="307" ht="12.6" customHeight="1"/>
    <row r="308" ht="12.6" customHeight="1"/>
    <row r="309" ht="12.6" customHeight="1"/>
    <row r="310" ht="12.6" customHeight="1"/>
    <row r="311" ht="12.6" customHeight="1"/>
    <row r="312" ht="12.6" customHeight="1"/>
    <row r="313" ht="12.6" customHeight="1"/>
    <row r="314" ht="12.6" customHeight="1"/>
    <row r="315" ht="12.6" customHeight="1"/>
    <row r="316" ht="12.6" customHeight="1"/>
    <row r="317" ht="12.6" customHeight="1"/>
    <row r="318" ht="12.6" customHeight="1"/>
    <row r="319" ht="12.6" customHeight="1"/>
    <row r="320" ht="12.6" customHeight="1"/>
    <row r="321" ht="12.6" customHeight="1"/>
    <row r="322" ht="12.6" customHeight="1"/>
    <row r="323" ht="12.6" customHeight="1"/>
    <row r="324" ht="12.6" customHeight="1"/>
    <row r="325" ht="12.6" customHeight="1"/>
    <row r="326" ht="12.6" customHeight="1"/>
    <row r="327" ht="12.6" customHeight="1"/>
    <row r="328" ht="12.6" customHeight="1"/>
    <row r="329" ht="12.6" customHeight="1"/>
    <row r="330" ht="12.6" customHeight="1"/>
    <row r="331" ht="12.6" customHeight="1"/>
    <row r="332" ht="12.6" customHeight="1"/>
    <row r="333" ht="12.6" customHeight="1"/>
    <row r="334" ht="12.6" customHeight="1"/>
    <row r="335" ht="12.6" customHeight="1"/>
    <row r="336" ht="12.6" customHeight="1"/>
    <row r="337" ht="12.6" customHeight="1"/>
    <row r="338" ht="12.6" customHeight="1"/>
    <row r="339" ht="12.6" customHeight="1"/>
    <row r="340" ht="12.6" customHeight="1"/>
    <row r="341" ht="12.6" customHeight="1"/>
    <row r="342" ht="12.6" customHeight="1"/>
    <row r="343" ht="12.6" customHeight="1"/>
    <row r="344" ht="12.6" customHeight="1"/>
    <row r="345" ht="12.6" customHeight="1"/>
    <row r="346" ht="12.6" customHeight="1"/>
    <row r="347" ht="12.6" customHeight="1"/>
    <row r="348" ht="12.6" customHeight="1"/>
    <row r="349" ht="12.6" customHeight="1"/>
    <row r="350" ht="12.6" customHeight="1"/>
    <row r="351" ht="12.6" customHeight="1"/>
    <row r="352" ht="12.6" customHeight="1"/>
    <row r="353" ht="12.6" customHeight="1"/>
    <row r="354" ht="12.6" customHeight="1"/>
    <row r="355" ht="12.6" customHeight="1"/>
    <row r="356" ht="12.6" customHeight="1"/>
    <row r="357" ht="12.6" customHeight="1"/>
    <row r="358" ht="12.6" customHeight="1"/>
    <row r="359" ht="12.6" customHeight="1"/>
    <row r="360" ht="12.6" customHeight="1"/>
    <row r="361" ht="12.6" customHeight="1"/>
    <row r="362" ht="12.6" customHeight="1"/>
    <row r="363" ht="12.6" customHeight="1"/>
    <row r="364" ht="12.6" customHeight="1"/>
    <row r="365" ht="12.6" customHeight="1"/>
    <row r="366" ht="12.6" customHeight="1"/>
    <row r="367" ht="12.6" customHeight="1"/>
    <row r="368" ht="12.6" customHeight="1"/>
    <row r="369" ht="12.6" customHeight="1"/>
    <row r="370" ht="12.6" customHeight="1"/>
    <row r="371" ht="12.6" customHeight="1"/>
    <row r="372" ht="12.6" customHeight="1"/>
    <row r="373" ht="12.6" customHeight="1"/>
    <row r="374" ht="12.6" customHeight="1"/>
    <row r="375" ht="12.6" customHeight="1"/>
    <row r="376" ht="12.6" customHeight="1"/>
    <row r="377" ht="12.6" customHeight="1"/>
    <row r="378" ht="12.6" customHeight="1"/>
    <row r="379" ht="12.6" customHeight="1"/>
    <row r="380" ht="12.6" customHeight="1"/>
    <row r="381" ht="12.6" customHeight="1"/>
    <row r="382" ht="12.6" customHeight="1"/>
    <row r="383" ht="12.6" customHeight="1"/>
    <row r="384" ht="12.6" customHeight="1"/>
    <row r="385" ht="12.6" customHeight="1"/>
    <row r="386" ht="12.6" customHeight="1"/>
    <row r="387" ht="12.6" customHeight="1"/>
    <row r="388" ht="12.6" customHeight="1"/>
    <row r="389" ht="12.6" customHeight="1"/>
    <row r="390" ht="12.6" customHeight="1"/>
    <row r="391" ht="12.6" customHeight="1"/>
    <row r="392" ht="12.6" customHeight="1"/>
    <row r="393" ht="12.6" customHeight="1"/>
    <row r="394" ht="12.6" customHeight="1"/>
    <row r="395" ht="12.6" customHeight="1"/>
    <row r="396" ht="12.6" customHeight="1"/>
    <row r="397" ht="12.6" customHeight="1"/>
    <row r="398" ht="12.6" customHeight="1"/>
    <row r="399" ht="12.6" customHeight="1"/>
    <row r="400" ht="12.6" customHeight="1"/>
    <row r="401" ht="12.6" customHeight="1"/>
    <row r="402" ht="12.6" customHeight="1"/>
    <row r="403" ht="12.6" customHeight="1"/>
    <row r="404" ht="12.6" customHeight="1"/>
    <row r="405" ht="12.6" customHeight="1"/>
    <row r="406" ht="12.6" customHeight="1"/>
    <row r="407" ht="12.6" customHeight="1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  <row r="1001" ht="14.25"/>
    <row r="1002" ht="14.25"/>
    <row r="1003" ht="14.25"/>
    <row r="1004" ht="14.25"/>
    <row r="1005" ht="14.25"/>
    <row r="1006" ht="14.25"/>
    <row r="1007" ht="14.25"/>
    <row r="1008" ht="14.25"/>
    <row r="1009" ht="14.25"/>
    <row r="1010" ht="14.25"/>
    <row r="1011" ht="14.25"/>
    <row r="1012" ht="14.25"/>
    <row r="1013" ht="14.25"/>
    <row r="1014" ht="14.25"/>
    <row r="1015" ht="14.25"/>
    <row r="1016" ht="14.25"/>
    <row r="1017" ht="14.25"/>
    <row r="1018" ht="14.25"/>
    <row r="1019" ht="14.25"/>
    <row r="1020" ht="14.25"/>
    <row r="1021" ht="14.25"/>
    <row r="1022" ht="14.25"/>
    <row r="1023" ht="14.25"/>
    <row r="1024" ht="14.25"/>
    <row r="1025" ht="14.25"/>
    <row r="1026" ht="14.25"/>
    <row r="1027" ht="14.25"/>
    <row r="1028" ht="14.25"/>
    <row r="1029" ht="14.25"/>
    <row r="1030" ht="14.25"/>
    <row r="1031" ht="14.25"/>
    <row r="1032" ht="14.25"/>
    <row r="1033" ht="14.25"/>
    <row r="1034" ht="14.25"/>
    <row r="1035" ht="14.25"/>
    <row r="1036" ht="14.25"/>
    <row r="1037" ht="14.25"/>
    <row r="1038" ht="14.25"/>
    <row r="1039" ht="14.25"/>
    <row r="1040" ht="14.25"/>
    <row r="1041" ht="14.25"/>
    <row r="1042" ht="14.25"/>
    <row r="1043" ht="14.25"/>
    <row r="1044" ht="14.25"/>
    <row r="1045" ht="14.25"/>
    <row r="1046" ht="14.25"/>
    <row r="1047" ht="14.25"/>
    <row r="1048" ht="14.25"/>
    <row r="1049" ht="14.25"/>
    <row r="1050" ht="14.25"/>
    <row r="1051" ht="14.25"/>
    <row r="1052" ht="14.25"/>
    <row r="1053" ht="14.25"/>
    <row r="1054" ht="14.25"/>
    <row r="1055" ht="14.25"/>
    <row r="1056" ht="14.25"/>
    <row r="1057" ht="14.25"/>
    <row r="1058" ht="14.25"/>
    <row r="1059" ht="14.25"/>
    <row r="1060" ht="14.25"/>
    <row r="1061" ht="14.25"/>
    <row r="1062" ht="14.25"/>
    <row r="1063" ht="14.25"/>
    <row r="1064" ht="14.25"/>
    <row r="1065" ht="14.25"/>
    <row r="1066" ht="14.25"/>
    <row r="1067" ht="14.25"/>
    <row r="1068" ht="14.25"/>
    <row r="1069" ht="14.25"/>
    <row r="1070" ht="14.25"/>
    <row r="1071" ht="14.25"/>
    <row r="1072" ht="14.25"/>
    <row r="1073" ht="14.25"/>
    <row r="1074" ht="14.25"/>
    <row r="1075" ht="14.25"/>
    <row r="1076" ht="14.25"/>
    <row r="1077" ht="14.25"/>
    <row r="1078" ht="14.25"/>
    <row r="1079" ht="14.25"/>
    <row r="1080" ht="14.25"/>
    <row r="1081" ht="14.25"/>
    <row r="1082" ht="14.25"/>
    <row r="1083" ht="14.25"/>
    <row r="1084" ht="14.25"/>
    <row r="1085" ht="14.25"/>
    <row r="1086" ht="14.25"/>
    <row r="1087" ht="14.25"/>
    <row r="1088" ht="14.25"/>
    <row r="1089" ht="14.25"/>
    <row r="1090" ht="14.25"/>
    <row r="1091" ht="14.25"/>
    <row r="1092" ht="14.25"/>
    <row r="1093" ht="14.25"/>
    <row r="1094" ht="14.25"/>
    <row r="1095" ht="14.25"/>
    <row r="1096" ht="14.25"/>
    <row r="1097" ht="14.25"/>
    <row r="1098" ht="14.25"/>
    <row r="1099" ht="14.25"/>
    <row r="1100" ht="14.25"/>
    <row r="1101" ht="14.25"/>
    <row r="1102" ht="14.25"/>
    <row r="1103" ht="14.25"/>
    <row r="1104" ht="14.25"/>
    <row r="1105" ht="14.25"/>
    <row r="1106" ht="14.25"/>
    <row r="1107" ht="14.25"/>
    <row r="1108" ht="14.25"/>
    <row r="1109" ht="14.25"/>
    <row r="1110" ht="14.25"/>
    <row r="1111" ht="14.25"/>
    <row r="1112" ht="14.25"/>
    <row r="1113" ht="14.25"/>
    <row r="1114" ht="14.25"/>
    <row r="1115" ht="14.25"/>
    <row r="1116" ht="14.25"/>
    <row r="1117" ht="14.25"/>
    <row r="1118" ht="14.25"/>
    <row r="1119" ht="14.25"/>
    <row r="1120" ht="14.25"/>
    <row r="1121" ht="14.25"/>
    <row r="1122" ht="14.25"/>
    <row r="1123" ht="14.25"/>
    <row r="1124" ht="14.25"/>
    <row r="1125" ht="14.25"/>
    <row r="1126" ht="14.25"/>
    <row r="1127" ht="14.25"/>
    <row r="1128" ht="14.25"/>
    <row r="1129" ht="14.25"/>
    <row r="1130" ht="14.25"/>
    <row r="1131" ht="14.25"/>
    <row r="1132" ht="14.25"/>
    <row r="1133" ht="14.25"/>
    <row r="1134" ht="14.25"/>
    <row r="1135" ht="14.25"/>
    <row r="1136" ht="14.25"/>
    <row r="1137" ht="14.25"/>
    <row r="1138" ht="14.25"/>
    <row r="1139" ht="14.25"/>
    <row r="1140" ht="14.25"/>
    <row r="1141" ht="14.25"/>
    <row r="1142" ht="14.25"/>
    <row r="1143" ht="14.25"/>
    <row r="1144" ht="14.25"/>
    <row r="1145" ht="14.25"/>
    <row r="1146" ht="14.25"/>
    <row r="1147" ht="14.25"/>
    <row r="1148" ht="14.25"/>
    <row r="1149" ht="14.25"/>
    <row r="1150" ht="14.25"/>
    <row r="1151" ht="14.25"/>
    <row r="1152" ht="14.25"/>
    <row r="1153" ht="14.25"/>
    <row r="1154" ht="14.25"/>
    <row r="1155" ht="14.25"/>
    <row r="1156" ht="14.25"/>
    <row r="1157" ht="14.25"/>
    <row r="1158" ht="14.25"/>
    <row r="1159" ht="14.25"/>
    <row r="1160" ht="14.25"/>
    <row r="1161" ht="14.25"/>
    <row r="1162" ht="14.25"/>
    <row r="1163" ht="14.25"/>
    <row r="1164" ht="14.25"/>
    <row r="1165" ht="14.25"/>
    <row r="1166" ht="14.25"/>
    <row r="1167" ht="14.25"/>
    <row r="1168" ht="14.25"/>
    <row r="1169" ht="14.25"/>
    <row r="1170" ht="14.25"/>
    <row r="1171" ht="14.25"/>
  </sheetData>
  <mergeCells count="45">
    <mergeCell ref="A114:J114"/>
    <mergeCell ref="A115:J115"/>
    <mergeCell ref="A116:J116"/>
    <mergeCell ref="F138:AB138"/>
    <mergeCell ref="F139:AB139"/>
    <mergeCell ref="AS59:AU59"/>
    <mergeCell ref="D60:E60"/>
    <mergeCell ref="L60:U60"/>
    <mergeCell ref="D61:E61"/>
    <mergeCell ref="L61:U61"/>
    <mergeCell ref="A113:J113"/>
    <mergeCell ref="D57:E57"/>
    <mergeCell ref="L57:U57"/>
    <mergeCell ref="D58:E58"/>
    <mergeCell ref="L58:U58"/>
    <mergeCell ref="D59:E59"/>
    <mergeCell ref="L59:U59"/>
    <mergeCell ref="N11:P11"/>
    <mergeCell ref="C12:E12"/>
    <mergeCell ref="N12:P12"/>
    <mergeCell ref="O16:P16"/>
    <mergeCell ref="B39:D44"/>
    <mergeCell ref="D56:E56"/>
    <mergeCell ref="C8:G8"/>
    <mergeCell ref="J8:K8"/>
    <mergeCell ref="N8:P8"/>
    <mergeCell ref="U8:V8"/>
    <mergeCell ref="C10:E10"/>
    <mergeCell ref="N10:P10"/>
    <mergeCell ref="C6:G6"/>
    <mergeCell ref="J6:K6"/>
    <mergeCell ref="N6:Q6"/>
    <mergeCell ref="U6:V6"/>
    <mergeCell ref="C7:G7"/>
    <mergeCell ref="J7:K7"/>
    <mergeCell ref="N7:Q7"/>
    <mergeCell ref="U7:V7"/>
    <mergeCell ref="C4:G4"/>
    <mergeCell ref="J4:K4"/>
    <mergeCell ref="N4:Q4"/>
    <mergeCell ref="U4:V4"/>
    <mergeCell ref="C5:G5"/>
    <mergeCell ref="J5:K5"/>
    <mergeCell ref="N5:Q5"/>
    <mergeCell ref="U5:V5"/>
  </mergeCells>
  <conditionalFormatting sqref="B39:D44">
    <cfRule type="cellIs" dxfId="0" priority="1" stopIfTrue="1" operator="notEqual">
      <formula>0</formula>
    </cfRule>
  </conditionalFormatting>
  <pageMargins left="0.70866141732283472" right="0.19685039370078741" top="0.27559055118110237" bottom="0.39370078740157483" header="0.23622047244094491" footer="0.11811023622047245"/>
  <pageSetup paperSize="9" orientation="portrait" r:id="rId1"/>
  <headerFooter alignWithMargins="0">
    <oddHeader xml:space="preserve">&amp;C&amp;"Arial Narrow,Bold"&amp;14 </oddHeader>
    <oddFooter>&amp;L&amp;"Verdana,Regular"&amp;8Page &amp;P/&amp;N&amp;R&amp;"Verdana,Regular"&amp;8File: &amp;F</oddFooter>
  </headerFooter>
  <rowBreaks count="1" manualBreakCount="1">
    <brk id="62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O1171"/>
  <sheetViews>
    <sheetView showZeros="0" zoomScale="95" zoomScaleNormal="95" workbookViewId="0">
      <selection activeCell="O28" sqref="O28"/>
    </sheetView>
  </sheetViews>
  <sheetFormatPr defaultColWidth="8.85546875" defaultRowHeight="24.6" customHeight="1"/>
  <cols>
    <col min="1" max="1" width="8.7109375" style="55" customWidth="1"/>
    <col min="2" max="2" width="8.7109375" style="57" customWidth="1"/>
    <col min="3" max="3" width="8.7109375" style="55" customWidth="1"/>
    <col min="4" max="4" width="8.7109375" style="56" customWidth="1"/>
    <col min="5" max="5" width="8.7109375" style="55" customWidth="1"/>
    <col min="6" max="6" width="8.7109375" style="56" customWidth="1"/>
    <col min="7" max="7" width="8.7109375" style="57" customWidth="1"/>
    <col min="8" max="9" width="8.7109375" style="55" customWidth="1"/>
    <col min="10" max="10" width="8.7109375" style="57" customWidth="1"/>
    <col min="11" max="11" width="8.28515625" style="57" customWidth="1"/>
    <col min="12" max="21" width="8.7109375" style="55" customWidth="1"/>
    <col min="22" max="22" width="8.28515625" style="55" customWidth="1"/>
    <col min="23" max="27" width="8.85546875" style="55" customWidth="1"/>
    <col min="28" max="28" width="8.7109375" style="55" customWidth="1"/>
    <col min="29" max="29" width="9.42578125" style="55" customWidth="1"/>
    <col min="30" max="31" width="10.7109375" style="60" customWidth="1"/>
    <col min="32" max="32" width="10.7109375" style="11" customWidth="1"/>
    <col min="33" max="33" width="9.140625" style="11" customWidth="1"/>
    <col min="34" max="34" width="30.7109375" style="34" customWidth="1"/>
    <col min="35" max="37" width="15.42578125" style="11" customWidth="1"/>
    <col min="38" max="38" width="9.5703125" style="11" customWidth="1"/>
    <col min="39" max="41" width="3.140625" style="102" customWidth="1"/>
    <col min="42" max="42" width="4.7109375" style="102" customWidth="1"/>
    <col min="43" max="43" width="10.5703125" style="103" customWidth="1"/>
    <col min="44" max="48" width="10.5703125" style="102" customWidth="1"/>
    <col min="49" max="49" width="10.5703125" style="104" customWidth="1"/>
    <col min="50" max="51" width="10.5703125" style="102" customWidth="1"/>
    <col min="52" max="52" width="4.7109375" style="105" customWidth="1"/>
    <col min="53" max="53" width="9.140625" style="11" customWidth="1"/>
    <col min="54" max="54" width="3.140625" style="11" customWidth="1"/>
    <col min="55" max="56" width="3.140625" style="55" customWidth="1"/>
    <col min="57" max="57" width="4.7109375" style="55" customWidth="1"/>
    <col min="58" max="66" width="10.5703125" style="55" customWidth="1"/>
    <col min="67" max="67" width="4.7109375" style="55" customWidth="1"/>
    <col min="68" max="69" width="8.85546875" style="55" customWidth="1"/>
    <col min="70" max="16384" width="8.85546875" style="55"/>
  </cols>
  <sheetData>
    <row r="1" spans="1:67" s="7" customFormat="1" ht="17.45" customHeight="1" thickBot="1">
      <c r="A1" s="266"/>
      <c r="B1" s="2"/>
      <c r="C1" s="3"/>
      <c r="D1" s="4"/>
      <c r="E1" s="18"/>
      <c r="F1" s="19"/>
      <c r="I1" s="4"/>
      <c r="J1" s="4"/>
      <c r="K1" s="6" t="s">
        <v>245</v>
      </c>
      <c r="L1" s="266"/>
      <c r="M1" s="2"/>
      <c r="N1" s="3"/>
      <c r="O1" s="4"/>
      <c r="P1" s="18"/>
      <c r="Q1" s="19"/>
      <c r="T1" s="4"/>
      <c r="U1" s="4"/>
      <c r="V1" s="6" t="s">
        <v>245</v>
      </c>
      <c r="AF1" s="8"/>
      <c r="AG1" s="8"/>
      <c r="AH1" s="9"/>
      <c r="AI1" s="10"/>
      <c r="AJ1" s="11"/>
      <c r="AK1" s="11"/>
      <c r="AL1" s="12"/>
      <c r="AM1" s="13"/>
      <c r="AN1" s="13"/>
      <c r="AO1" s="13"/>
      <c r="AP1" s="13"/>
      <c r="AQ1" s="14"/>
      <c r="AR1" s="13"/>
      <c r="AS1" s="13"/>
      <c r="AT1" s="13"/>
      <c r="AU1" s="15" t="s">
        <v>0</v>
      </c>
      <c r="AV1" s="15"/>
      <c r="AW1" s="16"/>
      <c r="AX1" s="13"/>
      <c r="AY1" s="13"/>
      <c r="AZ1" s="13"/>
      <c r="BA1" s="2"/>
      <c r="BB1" s="13"/>
      <c r="BC1" s="13"/>
      <c r="BD1" s="13"/>
      <c r="BE1" s="13"/>
      <c r="BF1" s="14"/>
      <c r="BG1" s="13"/>
      <c r="BH1" s="13"/>
      <c r="BI1" s="13"/>
      <c r="BJ1" s="15" t="s">
        <v>1</v>
      </c>
      <c r="BK1" s="15"/>
      <c r="BL1" s="16"/>
      <c r="BM1" s="13"/>
      <c r="BN1" s="13"/>
      <c r="BO1" s="13"/>
    </row>
    <row r="2" spans="1:67" s="22" customFormat="1" ht="13.15" customHeight="1">
      <c r="A2" s="1"/>
      <c r="B2" s="17"/>
      <c r="C2" s="18"/>
      <c r="D2" s="19"/>
      <c r="I2" s="17"/>
      <c r="J2" s="17"/>
      <c r="K2" s="20"/>
      <c r="L2" s="1"/>
      <c r="M2" s="17"/>
      <c r="N2" s="18"/>
      <c r="O2" s="19"/>
      <c r="T2" s="17"/>
      <c r="U2" s="17"/>
      <c r="V2" s="20"/>
      <c r="AB2" s="17"/>
      <c r="AF2" s="23"/>
      <c r="AG2" s="23"/>
      <c r="AH2" s="24"/>
      <c r="AI2" s="21"/>
      <c r="AJ2" s="11"/>
      <c r="AK2" s="11"/>
      <c r="AL2" s="21"/>
      <c r="AM2" s="25"/>
      <c r="AN2" s="26" t="s">
        <v>2</v>
      </c>
      <c r="AO2" s="25"/>
      <c r="AP2" s="27" t="s">
        <v>3</v>
      </c>
      <c r="AQ2" s="28" t="s">
        <v>4</v>
      </c>
      <c r="AR2" s="28" t="s">
        <v>5</v>
      </c>
      <c r="AS2" s="28" t="s">
        <v>6</v>
      </c>
      <c r="AT2" s="28" t="s">
        <v>7</v>
      </c>
      <c r="AU2" s="28" t="s">
        <v>8</v>
      </c>
      <c r="AV2" s="28" t="s">
        <v>9</v>
      </c>
      <c r="AW2" s="28" t="s">
        <v>10</v>
      </c>
      <c r="AX2" s="28" t="s">
        <v>11</v>
      </c>
      <c r="AY2" s="28" t="s">
        <v>12</v>
      </c>
      <c r="AZ2" s="29"/>
      <c r="BA2" s="17"/>
      <c r="BB2" s="25"/>
      <c r="BC2" s="26" t="s">
        <v>2</v>
      </c>
      <c r="BD2" s="25"/>
      <c r="BE2" s="27" t="s">
        <v>3</v>
      </c>
      <c r="BF2" s="28" t="s">
        <v>4</v>
      </c>
      <c r="BG2" s="28" t="s">
        <v>5</v>
      </c>
      <c r="BH2" s="28" t="s">
        <v>6</v>
      </c>
      <c r="BI2" s="28" t="s">
        <v>7</v>
      </c>
      <c r="BJ2" s="28" t="s">
        <v>8</v>
      </c>
      <c r="BK2" s="28" t="s">
        <v>9</v>
      </c>
      <c r="BL2" s="28" t="s">
        <v>10</v>
      </c>
      <c r="BM2" s="28" t="s">
        <v>11</v>
      </c>
      <c r="BN2" s="28" t="s">
        <v>12</v>
      </c>
      <c r="BO2" s="29"/>
    </row>
    <row r="3" spans="1:67" s="7" customFormat="1" ht="13.15" customHeight="1">
      <c r="A3" s="30" t="s">
        <v>13</v>
      </c>
      <c r="B3" s="18"/>
      <c r="C3" s="18"/>
      <c r="D3" s="31"/>
      <c r="E3" s="18"/>
      <c r="F3" s="31"/>
      <c r="I3" s="32"/>
      <c r="J3" s="2"/>
      <c r="K3" s="20"/>
      <c r="L3" s="30" t="str">
        <f t="shared" ref="L3:L8" si="0">A3</f>
        <v>CIRCUIT  CALCULATION  SHEET:</v>
      </c>
      <c r="M3" s="18"/>
      <c r="N3" s="18"/>
      <c r="O3" s="31"/>
      <c r="P3" s="18"/>
      <c r="Q3" s="31"/>
      <c r="T3" s="32"/>
      <c r="U3" s="2"/>
      <c r="V3" s="20"/>
      <c r="AD3" s="7" t="s">
        <v>15</v>
      </c>
      <c r="AF3" s="11"/>
      <c r="AG3" s="11"/>
      <c r="AH3" s="34"/>
      <c r="AI3" s="11"/>
      <c r="AJ3" s="11"/>
      <c r="AK3" s="11"/>
      <c r="AL3" s="11"/>
      <c r="AM3" s="35"/>
      <c r="AN3" s="36"/>
      <c r="AO3" s="35"/>
      <c r="AP3" s="37"/>
      <c r="AQ3" s="38" t="str">
        <f t="shared" ref="AQ3:AY3" si="1">AQ2</f>
        <v>BS 7671</v>
      </c>
      <c r="AR3" s="38" t="str">
        <f t="shared" si="1"/>
        <v>ABB</v>
      </c>
      <c r="AS3" s="38" t="str">
        <f t="shared" si="1"/>
        <v>Crabtree</v>
      </c>
      <c r="AT3" s="38" t="str">
        <f t="shared" si="1"/>
        <v>Dorman</v>
      </c>
      <c r="AU3" s="38" t="str">
        <f t="shared" si="1"/>
        <v>Hager</v>
      </c>
      <c r="AV3" s="38" t="str">
        <f t="shared" si="1"/>
        <v>MEM</v>
      </c>
      <c r="AW3" s="38" t="str">
        <f t="shared" si="1"/>
        <v>Schneider</v>
      </c>
      <c r="AX3" s="38" t="str">
        <f t="shared" si="1"/>
        <v>Siemens</v>
      </c>
      <c r="AY3" s="38" t="str">
        <f t="shared" si="1"/>
        <v>Square D</v>
      </c>
      <c r="AZ3" s="39"/>
      <c r="BA3" s="11"/>
      <c r="BB3" s="35"/>
      <c r="BC3" s="36"/>
      <c r="BD3" s="35"/>
      <c r="BE3" s="37"/>
      <c r="BF3" s="38" t="str">
        <f t="shared" ref="BF3:BN3" si="2">BF2</f>
        <v>BS 7671</v>
      </c>
      <c r="BG3" s="38" t="str">
        <f t="shared" si="2"/>
        <v>ABB</v>
      </c>
      <c r="BH3" s="38" t="str">
        <f t="shared" si="2"/>
        <v>Crabtree</v>
      </c>
      <c r="BI3" s="38" t="str">
        <f t="shared" si="2"/>
        <v>Dorman</v>
      </c>
      <c r="BJ3" s="38" t="str">
        <f t="shared" si="2"/>
        <v>Hager</v>
      </c>
      <c r="BK3" s="38" t="str">
        <f t="shared" si="2"/>
        <v>MEM</v>
      </c>
      <c r="BL3" s="38" t="str">
        <f t="shared" si="2"/>
        <v>Schneider</v>
      </c>
      <c r="BM3" s="38" t="str">
        <f t="shared" si="2"/>
        <v>Siemens</v>
      </c>
      <c r="BN3" s="38" t="str">
        <f t="shared" si="2"/>
        <v>Square D</v>
      </c>
      <c r="BO3" s="39"/>
    </row>
    <row r="4" spans="1:67" s="7" customFormat="1" ht="13.15" customHeight="1">
      <c r="A4" s="31" t="s">
        <v>16</v>
      </c>
      <c r="C4" s="316" t="str">
        <f>Project_Name</f>
        <v>Fife-JV</v>
      </c>
      <c r="D4" s="283"/>
      <c r="E4" s="283"/>
      <c r="F4" s="283"/>
      <c r="G4" s="283"/>
      <c r="I4" s="33" t="s">
        <v>14</v>
      </c>
      <c r="J4" s="317" t="str">
        <f>Prep_By</f>
        <v>N Holmes</v>
      </c>
      <c r="K4" s="318"/>
      <c r="L4" s="31" t="str">
        <f t="shared" si="0"/>
        <v>Project Name:</v>
      </c>
      <c r="N4" s="316" t="str">
        <f>Project_Name</f>
        <v>Fife-JV</v>
      </c>
      <c r="O4" s="283"/>
      <c r="P4" s="283"/>
      <c r="Q4" s="283"/>
      <c r="T4" s="33" t="str">
        <f>I4</f>
        <v>Prepared By:</v>
      </c>
      <c r="U4" s="317" t="str">
        <f>Prep_By</f>
        <v>N Holmes</v>
      </c>
      <c r="V4" s="318"/>
      <c r="AD4" s="22" t="s">
        <v>19</v>
      </c>
      <c r="AF4" s="40"/>
      <c r="AG4" s="41"/>
      <c r="AH4" s="42"/>
      <c r="AI4" s="5"/>
      <c r="AJ4" s="5"/>
      <c r="AK4" s="5"/>
      <c r="AL4" s="5"/>
      <c r="AM4" s="43"/>
      <c r="AN4" s="44" t="s">
        <v>20</v>
      </c>
      <c r="AO4" s="43"/>
      <c r="AP4" s="45" t="s">
        <v>21</v>
      </c>
      <c r="AQ4" s="46">
        <v>8</v>
      </c>
      <c r="AR4" s="46">
        <v>7.7</v>
      </c>
      <c r="AS4" s="46"/>
      <c r="AT4" s="46"/>
      <c r="AU4" s="46">
        <v>8.8000000000000007</v>
      </c>
      <c r="AV4" s="46"/>
      <c r="AW4" s="46">
        <v>7.6</v>
      </c>
      <c r="AX4" s="46"/>
      <c r="AY4" s="46"/>
      <c r="AZ4" s="47"/>
      <c r="BA4" s="5"/>
      <c r="BB4" s="43"/>
      <c r="BC4" s="44" t="s">
        <v>20</v>
      </c>
      <c r="BD4" s="43"/>
      <c r="BE4" s="45" t="s">
        <v>21</v>
      </c>
      <c r="BF4" s="46">
        <v>8</v>
      </c>
      <c r="BG4" s="46">
        <v>7.7</v>
      </c>
      <c r="BH4" s="46"/>
      <c r="BI4" s="46"/>
      <c r="BJ4" s="46">
        <v>8</v>
      </c>
      <c r="BK4" s="46"/>
      <c r="BL4" s="46">
        <v>7.6</v>
      </c>
      <c r="BM4" s="46"/>
      <c r="BN4" s="46"/>
      <c r="BO4" s="47"/>
    </row>
    <row r="5" spans="1:67" s="22" customFormat="1" ht="13.15" customHeight="1">
      <c r="A5" s="31" t="s">
        <v>22</v>
      </c>
      <c r="C5" s="316" t="str">
        <f>Project_No</f>
        <v>MW502</v>
      </c>
      <c r="D5" s="283"/>
      <c r="E5" s="283"/>
      <c r="F5" s="283"/>
      <c r="G5" s="283"/>
      <c r="I5" s="33" t="s">
        <v>18</v>
      </c>
      <c r="J5" s="319" t="str">
        <f>Date</f>
        <v>26.06.10</v>
      </c>
      <c r="K5" s="318"/>
      <c r="L5" s="31" t="str">
        <f t="shared" si="0"/>
        <v>Project Nº:</v>
      </c>
      <c r="N5" s="316" t="str">
        <f>Project_No</f>
        <v>MW502</v>
      </c>
      <c r="O5" s="283"/>
      <c r="P5" s="283"/>
      <c r="Q5" s="283"/>
      <c r="T5" s="33" t="str">
        <f>I5</f>
        <v>Date Prepared:</v>
      </c>
      <c r="U5" s="319" t="str">
        <f>Date</f>
        <v>26.06.10</v>
      </c>
      <c r="V5" s="318"/>
      <c r="AD5" s="22" t="s">
        <v>25</v>
      </c>
      <c r="AF5" s="40"/>
      <c r="AG5" s="41"/>
      <c r="AH5" s="42"/>
      <c r="AI5" s="5" t="s">
        <v>253</v>
      </c>
      <c r="AJ5" s="5" t="s">
        <v>254</v>
      </c>
      <c r="AK5" s="5" t="s">
        <v>255</v>
      </c>
      <c r="AL5" s="5"/>
      <c r="AM5" s="48"/>
      <c r="AN5" s="49" t="s">
        <v>29</v>
      </c>
      <c r="AO5" s="48"/>
      <c r="AP5" s="50" t="s">
        <v>30</v>
      </c>
      <c r="AQ5" s="51">
        <v>4</v>
      </c>
      <c r="AR5" s="51">
        <v>3.8</v>
      </c>
      <c r="AS5" s="51"/>
      <c r="AT5" s="51"/>
      <c r="AU5" s="46">
        <v>8.8000000000000007</v>
      </c>
      <c r="AV5" s="51"/>
      <c r="AW5" s="51">
        <v>4.8899999999999997</v>
      </c>
      <c r="AX5" s="51"/>
      <c r="AY5" s="46"/>
      <c r="AZ5" s="52"/>
      <c r="BA5" s="5"/>
      <c r="BB5" s="48"/>
      <c r="BC5" s="49" t="s">
        <v>29</v>
      </c>
      <c r="BD5" s="48"/>
      <c r="BE5" s="50" t="s">
        <v>30</v>
      </c>
      <c r="BF5" s="51">
        <v>4</v>
      </c>
      <c r="BG5" s="51">
        <v>3.8</v>
      </c>
      <c r="BH5" s="51"/>
      <c r="BI5" s="51"/>
      <c r="BJ5" s="46">
        <v>4</v>
      </c>
      <c r="BK5" s="51"/>
      <c r="BL5" s="51">
        <v>3.88</v>
      </c>
      <c r="BM5" s="51"/>
      <c r="BN5" s="46"/>
      <c r="BO5" s="52"/>
    </row>
    <row r="6" spans="1:67" s="22" customFormat="1" ht="13.15" customHeight="1">
      <c r="A6" s="31" t="s">
        <v>31</v>
      </c>
      <c r="C6" s="316" t="str">
        <f>Area_Zone_Level</f>
        <v>Level 00 - DB Zone E1|0|BL</v>
      </c>
      <c r="D6" s="283"/>
      <c r="E6" s="283"/>
      <c r="F6" s="283"/>
      <c r="G6" s="283"/>
      <c r="I6" s="33" t="s">
        <v>24</v>
      </c>
      <c r="J6" s="317" t="s">
        <v>243</v>
      </c>
      <c r="K6" s="318"/>
      <c r="L6" s="31" t="str">
        <f t="shared" si="0"/>
        <v>Area/Zone/Level:</v>
      </c>
      <c r="N6" s="316" t="str">
        <f>Area_Zone_Level</f>
        <v>Level 00 - DB Zone E1|0|BL</v>
      </c>
      <c r="O6" s="283"/>
      <c r="P6" s="283"/>
      <c r="Q6" s="283"/>
      <c r="T6" s="33" t="str">
        <f>I6</f>
        <v>Revision:</v>
      </c>
      <c r="U6" s="317" t="str">
        <f>J6</f>
        <v>C1</v>
      </c>
      <c r="V6" s="318"/>
      <c r="AD6" s="22" t="s">
        <v>34</v>
      </c>
      <c r="AF6" s="40"/>
      <c r="AG6" s="41"/>
      <c r="AH6" s="53" t="s">
        <v>35</v>
      </c>
      <c r="AI6" s="54">
        <f>IF(AND(homerun_csa=1.5,homerun_tp=70),16,IF(AND(homerun_csa=2.5,homerun_tp=70),25,IF(AND(homerun_csa=4,homerun_tp=70),34,IF(AND(homerun_csa=6,homerun_tp=70),44,"ERR"))))</f>
        <v>34</v>
      </c>
      <c r="AJ6" s="54">
        <f>IF(AND(extender_csa=2.5,extender_tp=70),30,"ERR")</f>
        <v>30</v>
      </c>
      <c r="AK6" s="54">
        <f>IF(AND(SD_csa=1.5,SD_tp=70),16,IF(AND(SD_csa=2.5,SD_tp=70),25,"ERR"))</f>
        <v>16</v>
      </c>
      <c r="AL6" s="5"/>
      <c r="AM6" s="48"/>
      <c r="AN6" s="49" t="s">
        <v>29</v>
      </c>
      <c r="AO6" s="48"/>
      <c r="AP6" s="50" t="s">
        <v>36</v>
      </c>
      <c r="AQ6" s="51">
        <v>2</v>
      </c>
      <c r="AR6" s="51">
        <v>2.7</v>
      </c>
      <c r="AS6" s="51"/>
      <c r="AT6" s="51"/>
      <c r="AU6" s="46">
        <v>8.8000000000000007</v>
      </c>
      <c r="AV6" s="51"/>
      <c r="AW6" s="51">
        <v>4.8899999999999997</v>
      </c>
      <c r="AX6" s="51"/>
      <c r="AY6" s="46"/>
      <c r="AZ6" s="52"/>
      <c r="BA6" s="5"/>
      <c r="BB6" s="48"/>
      <c r="BC6" s="49" t="s">
        <v>29</v>
      </c>
      <c r="BD6" s="48"/>
      <c r="BE6" s="50" t="s">
        <v>36</v>
      </c>
      <c r="BF6" s="51">
        <v>2</v>
      </c>
      <c r="BG6" s="51">
        <v>2.7</v>
      </c>
      <c r="BH6" s="51"/>
      <c r="BI6" s="51"/>
      <c r="BJ6" s="46">
        <v>1</v>
      </c>
      <c r="BK6" s="51"/>
      <c r="BL6" s="51">
        <v>2.74</v>
      </c>
      <c r="BM6" s="51"/>
      <c r="BN6" s="46"/>
      <c r="BO6" s="52"/>
    </row>
    <row r="7" spans="1:67" s="22" customFormat="1" ht="13.15" customHeight="1">
      <c r="A7" s="31" t="s">
        <v>37</v>
      </c>
      <c r="C7" s="316" t="str">
        <f>Drawing_No</f>
        <v>CD-MS-02-L(62)1-XX-006</v>
      </c>
      <c r="D7" s="283"/>
      <c r="E7" s="283"/>
      <c r="F7" s="283"/>
      <c r="G7" s="283"/>
      <c r="I7" s="33" t="s">
        <v>33</v>
      </c>
      <c r="J7" s="317"/>
      <c r="K7" s="318"/>
      <c r="L7" s="31" t="str">
        <f t="shared" si="0"/>
        <v>Drawing Nº:</v>
      </c>
      <c r="N7" s="316" t="str">
        <f>Drawing_No</f>
        <v>CD-MS-02-L(62)1-XX-006</v>
      </c>
      <c r="O7" s="283"/>
      <c r="P7" s="283"/>
      <c r="Q7" s="283"/>
      <c r="T7" s="33" t="str">
        <f>I7</f>
        <v>Checked By:</v>
      </c>
      <c r="U7" s="317">
        <f>J7</f>
        <v>0</v>
      </c>
      <c r="V7" s="318"/>
      <c r="AD7" s="22" t="s">
        <v>39</v>
      </c>
      <c r="AF7" s="40"/>
      <c r="AG7" s="41"/>
      <c r="AH7" s="34"/>
      <c r="AI7" s="55"/>
      <c r="AJ7" s="55"/>
      <c r="AK7" s="55"/>
      <c r="AL7" s="5"/>
      <c r="AM7" s="48"/>
      <c r="AN7" s="49" t="s">
        <v>40</v>
      </c>
      <c r="AO7" s="48"/>
      <c r="AP7" s="50" t="s">
        <v>21</v>
      </c>
      <c r="AQ7" s="51">
        <v>4.8</v>
      </c>
      <c r="AR7" s="51">
        <v>4.5999999999999996</v>
      </c>
      <c r="AS7" s="51"/>
      <c r="AT7" s="51"/>
      <c r="AU7" s="51">
        <v>5.33</v>
      </c>
      <c r="AV7" s="51"/>
      <c r="AW7" s="51">
        <v>4.5999999999999996</v>
      </c>
      <c r="AX7" s="51"/>
      <c r="AY7" s="51"/>
      <c r="AZ7" s="52"/>
      <c r="BA7" s="5"/>
      <c r="BB7" s="48"/>
      <c r="BC7" s="49" t="s">
        <v>40</v>
      </c>
      <c r="BD7" s="48"/>
      <c r="BE7" s="50" t="s">
        <v>21</v>
      </c>
      <c r="BF7" s="51">
        <v>4.8</v>
      </c>
      <c r="BG7" s="51">
        <v>4.5999999999999996</v>
      </c>
      <c r="BH7" s="51"/>
      <c r="BI7" s="51"/>
      <c r="BJ7" s="51">
        <v>4.8</v>
      </c>
      <c r="BK7" s="51"/>
      <c r="BL7" s="51">
        <v>4.5999999999999996</v>
      </c>
      <c r="BM7" s="51"/>
      <c r="BN7" s="51"/>
      <c r="BO7" s="52"/>
    </row>
    <row r="8" spans="1:67" s="22" customFormat="1" ht="13.15" customHeight="1">
      <c r="A8" s="31" t="s">
        <v>17</v>
      </c>
      <c r="B8" s="7"/>
      <c r="C8" s="301" t="str">
        <f>Service</f>
        <v>Lighting</v>
      </c>
      <c r="D8" s="302"/>
      <c r="E8" s="302"/>
      <c r="F8" s="283"/>
      <c r="G8" s="283"/>
      <c r="J8" s="303" t="s">
        <v>242</v>
      </c>
      <c r="K8" s="304"/>
      <c r="L8" s="31" t="str">
        <f t="shared" si="0"/>
        <v>Service:</v>
      </c>
      <c r="M8" s="7"/>
      <c r="N8" s="301" t="str">
        <f>Service</f>
        <v>Lighting</v>
      </c>
      <c r="O8" s="302"/>
      <c r="P8" s="302"/>
      <c r="Q8" s="19"/>
      <c r="U8" s="303" t="str">
        <f>J8</f>
        <v>UCVD May 2010 V4.3</v>
      </c>
      <c r="V8" s="304"/>
      <c r="AB8" s="17"/>
      <c r="AE8" s="21"/>
      <c r="AF8" s="40"/>
      <c r="AG8" s="41"/>
      <c r="AH8" s="53" t="s">
        <v>41</v>
      </c>
      <c r="AI8" s="54">
        <f>IF(homerun_csa=1.5,32,IF(homerun_csa=2.5,19,IF(homerun_csa=4,12,IF(homerun_csa=6,7.8,"ERR"))))</f>
        <v>12</v>
      </c>
      <c r="AJ8" s="54">
        <f>IF(extender_csa=2.5,18,"ERR")</f>
        <v>18</v>
      </c>
      <c r="AK8" s="54">
        <f>IF(SD_csa=1.5,32,IF(SD_csa=2.5,19,"ERR"))</f>
        <v>32</v>
      </c>
      <c r="AL8" s="5"/>
      <c r="AM8" s="48"/>
      <c r="AN8" s="49" t="s">
        <v>29</v>
      </c>
      <c r="AO8" s="48"/>
      <c r="AP8" s="50" t="s">
        <v>30</v>
      </c>
      <c r="AQ8" s="51">
        <v>2.4</v>
      </c>
      <c r="AR8" s="51">
        <v>2.2000000000000002</v>
      </c>
      <c r="AS8" s="51"/>
      <c r="AT8" s="51"/>
      <c r="AU8" s="51">
        <v>5.33</v>
      </c>
      <c r="AV8" s="51"/>
      <c r="AW8" s="51">
        <v>2.95</v>
      </c>
      <c r="AX8" s="51"/>
      <c r="AY8" s="51"/>
      <c r="AZ8" s="52"/>
      <c r="BA8" s="5"/>
      <c r="BB8" s="48"/>
      <c r="BC8" s="49" t="s">
        <v>29</v>
      </c>
      <c r="BD8" s="48"/>
      <c r="BE8" s="50" t="s">
        <v>30</v>
      </c>
      <c r="BF8" s="51">
        <v>2.4</v>
      </c>
      <c r="BG8" s="51">
        <v>2.2000000000000002</v>
      </c>
      <c r="BH8" s="51"/>
      <c r="BI8" s="51"/>
      <c r="BJ8" s="51">
        <v>2.4</v>
      </c>
      <c r="BK8" s="51"/>
      <c r="BL8" s="51">
        <v>2.2999999999999998</v>
      </c>
      <c r="BM8" s="51"/>
      <c r="BN8" s="51"/>
      <c r="BO8" s="52"/>
    </row>
    <row r="9" spans="1:67" s="7" customFormat="1" ht="13.15" customHeight="1">
      <c r="X9" s="9"/>
      <c r="AD9" s="22"/>
      <c r="AH9" s="34"/>
      <c r="AI9" s="55"/>
      <c r="AJ9" s="55"/>
      <c r="AK9" s="55"/>
      <c r="AL9" s="5"/>
      <c r="AM9" s="48"/>
      <c r="AN9" s="49" t="s">
        <v>29</v>
      </c>
      <c r="AO9" s="48"/>
      <c r="AP9" s="50" t="s">
        <v>36</v>
      </c>
      <c r="AQ9" s="51">
        <v>1.2</v>
      </c>
      <c r="AR9" s="51">
        <v>1.6</v>
      </c>
      <c r="AS9" s="51"/>
      <c r="AT9" s="51"/>
      <c r="AU9" s="51">
        <v>5.33</v>
      </c>
      <c r="AV9" s="51"/>
      <c r="AW9" s="51">
        <v>2.95</v>
      </c>
      <c r="AX9" s="51"/>
      <c r="AY9" s="51"/>
      <c r="AZ9" s="52"/>
      <c r="BA9" s="5"/>
      <c r="BB9" s="48"/>
      <c r="BC9" s="49" t="s">
        <v>29</v>
      </c>
      <c r="BD9" s="48"/>
      <c r="BE9" s="50" t="s">
        <v>36</v>
      </c>
      <c r="BF9" s="51">
        <v>1.2</v>
      </c>
      <c r="BG9" s="51">
        <v>1.6</v>
      </c>
      <c r="BH9" s="51"/>
      <c r="BI9" s="51"/>
      <c r="BJ9" s="51">
        <v>1.2</v>
      </c>
      <c r="BK9" s="51"/>
      <c r="BL9" s="51">
        <v>1.64</v>
      </c>
      <c r="BM9" s="51"/>
      <c r="BN9" s="51"/>
      <c r="BO9" s="52"/>
    </row>
    <row r="10" spans="1:67" ht="13.15" customHeight="1">
      <c r="A10" s="18" t="s">
        <v>23</v>
      </c>
      <c r="C10" s="305">
        <f>DB_Ref</f>
        <v>2</v>
      </c>
      <c r="D10" s="306"/>
      <c r="E10" s="286"/>
      <c r="L10" s="18" t="str">
        <f>A10</f>
        <v>DB Ref:</v>
      </c>
      <c r="M10" s="57"/>
      <c r="N10" s="307">
        <f>C10</f>
        <v>2</v>
      </c>
      <c r="O10" s="308"/>
      <c r="P10" s="309"/>
      <c r="Q10" s="56"/>
      <c r="R10" s="57"/>
      <c r="U10" s="57"/>
      <c r="V10" s="57"/>
      <c r="AD10" s="22"/>
      <c r="AH10" s="53" t="s">
        <v>48</v>
      </c>
      <c r="AI10" s="54">
        <f>IF(homerun_csa=1.5,13.3,IF(homerun_csa=2.5,7.98,IF(homerun_csa=4,4.95,IF(homerun_csa=6,3.3,"ERR"))))</f>
        <v>4.95</v>
      </c>
      <c r="AJ10" s="61">
        <f>IF(extender_csa=1.5,13.3,IF(extender_csa=2.5,7.98,IF(extender_csa=4,5.6,"ERR")))</f>
        <v>7.98</v>
      </c>
      <c r="AK10" s="61">
        <f>IF(SD_csa=1.5,13.3,IF(SD_csa=2.5,7.98,"ERR"))</f>
        <v>13.3</v>
      </c>
      <c r="AL10" s="5"/>
      <c r="AM10" s="62"/>
      <c r="AN10" s="63" t="s">
        <v>49</v>
      </c>
      <c r="AO10" s="62"/>
      <c r="AP10" s="64" t="s">
        <v>21</v>
      </c>
      <c r="AQ10" s="65">
        <v>3</v>
      </c>
      <c r="AR10" s="65">
        <v>2.9</v>
      </c>
      <c r="AS10" s="65"/>
      <c r="AT10" s="65"/>
      <c r="AU10" s="65">
        <v>3.33</v>
      </c>
      <c r="AV10" s="65"/>
      <c r="AW10" s="65">
        <v>2.88</v>
      </c>
      <c r="AX10" s="65"/>
      <c r="AY10" s="65"/>
      <c r="AZ10" s="66"/>
      <c r="BA10" s="5"/>
      <c r="BB10" s="62"/>
      <c r="BC10" s="63" t="s">
        <v>49</v>
      </c>
      <c r="BD10" s="62"/>
      <c r="BE10" s="64" t="s">
        <v>21</v>
      </c>
      <c r="BF10" s="65">
        <v>3</v>
      </c>
      <c r="BG10" s="65">
        <v>2.9</v>
      </c>
      <c r="BH10" s="65"/>
      <c r="BI10" s="65"/>
      <c r="BJ10" s="65">
        <v>3</v>
      </c>
      <c r="BK10" s="65"/>
      <c r="BL10" s="65">
        <v>2.88</v>
      </c>
      <c r="BM10" s="65"/>
      <c r="BN10" s="65"/>
      <c r="BO10" s="66"/>
    </row>
    <row r="11" spans="1:67" ht="13.15" customHeight="1">
      <c r="A11" s="18"/>
      <c r="C11" s="271"/>
      <c r="D11" s="272"/>
      <c r="E11" s="270"/>
      <c r="L11" s="18">
        <f>A11</f>
        <v>0</v>
      </c>
      <c r="M11" s="57"/>
      <c r="N11" s="307">
        <f>C11</f>
        <v>0</v>
      </c>
      <c r="O11" s="308"/>
      <c r="P11" s="309"/>
      <c r="Q11" s="56"/>
      <c r="R11" s="57"/>
      <c r="U11" s="57"/>
      <c r="V11" s="57"/>
      <c r="AI11" s="55"/>
      <c r="AJ11" s="55"/>
      <c r="AK11" s="55"/>
      <c r="AL11" s="5"/>
      <c r="AM11" s="48"/>
      <c r="AN11" s="49" t="s">
        <v>29</v>
      </c>
      <c r="AO11" s="48"/>
      <c r="AP11" s="50" t="s">
        <v>30</v>
      </c>
      <c r="AQ11" s="51">
        <v>1.5</v>
      </c>
      <c r="AR11" s="51">
        <v>1.4</v>
      </c>
      <c r="AS11" s="65"/>
      <c r="AT11" s="51"/>
      <c r="AU11" s="65">
        <v>3.33</v>
      </c>
      <c r="AV11" s="51"/>
      <c r="AW11" s="65">
        <v>1.84</v>
      </c>
      <c r="AX11" s="51"/>
      <c r="AY11" s="65"/>
      <c r="AZ11" s="52"/>
      <c r="BA11" s="5"/>
      <c r="BB11" s="48"/>
      <c r="BC11" s="49" t="s">
        <v>29</v>
      </c>
      <c r="BD11" s="48"/>
      <c r="BE11" s="50" t="s">
        <v>30</v>
      </c>
      <c r="BF11" s="51">
        <v>1.5</v>
      </c>
      <c r="BG11" s="51">
        <v>1.4</v>
      </c>
      <c r="BH11" s="65"/>
      <c r="BI11" s="51"/>
      <c r="BJ11" s="65">
        <v>1.5</v>
      </c>
      <c r="BK11" s="51"/>
      <c r="BL11" s="65">
        <v>1.44</v>
      </c>
      <c r="BM11" s="51"/>
      <c r="BN11" s="65"/>
      <c r="BO11" s="52"/>
    </row>
    <row r="12" spans="1:67" ht="13.15" customHeight="1">
      <c r="A12" s="18" t="s">
        <v>38</v>
      </c>
      <c r="C12" s="305" t="str">
        <f ca="1">C10&amp;"|"&amp;MID(CELL("filename",A1),FIND("]",CELL("filename",A1))+1,32)</f>
        <v>2|14L3</v>
      </c>
      <c r="D12" s="306"/>
      <c r="E12" s="286"/>
      <c r="L12" s="18" t="str">
        <f>A12</f>
        <v>Circuit Ref:</v>
      </c>
      <c r="M12" s="57"/>
      <c r="N12" s="305" t="str">
        <f ca="1">C12</f>
        <v>2|14L3</v>
      </c>
      <c r="O12" s="310"/>
      <c r="P12" s="311"/>
      <c r="Q12" s="56"/>
      <c r="R12" s="57"/>
      <c r="U12" s="57"/>
      <c r="V12" s="57"/>
      <c r="AH12" s="34" t="s">
        <v>59</v>
      </c>
      <c r="AI12" s="71">
        <f>homerun_Z1*mdb_CPD_R_Factor</f>
        <v>6.1776</v>
      </c>
      <c r="AJ12" s="71">
        <f>extender_Z1*extender_CPD_R_Factor</f>
        <v>9.9590399999999999</v>
      </c>
      <c r="AK12" s="71">
        <f>SD_Z1*SD_CPD_R_Factor</f>
        <v>16.598400000000002</v>
      </c>
      <c r="AL12" s="5"/>
      <c r="AM12" s="48"/>
      <c r="AN12" s="49" t="s">
        <v>29</v>
      </c>
      <c r="AO12" s="48"/>
      <c r="AP12" s="50" t="s">
        <v>36</v>
      </c>
      <c r="AQ12" s="51">
        <v>0.75</v>
      </c>
      <c r="AR12" s="51">
        <v>1</v>
      </c>
      <c r="AS12" s="65"/>
      <c r="AT12" s="51"/>
      <c r="AU12" s="65">
        <v>3.33</v>
      </c>
      <c r="AV12" s="51"/>
      <c r="AW12" s="65">
        <v>1.84</v>
      </c>
      <c r="AX12" s="51"/>
      <c r="AY12" s="65"/>
      <c r="AZ12" s="52"/>
      <c r="BA12" s="5"/>
      <c r="BB12" s="48"/>
      <c r="BC12" s="49" t="s">
        <v>29</v>
      </c>
      <c r="BD12" s="48"/>
      <c r="BE12" s="50" t="s">
        <v>36</v>
      </c>
      <c r="BF12" s="51">
        <v>0.75</v>
      </c>
      <c r="BG12" s="51">
        <v>1</v>
      </c>
      <c r="BH12" s="65"/>
      <c r="BI12" s="51"/>
      <c r="BJ12" s="65">
        <v>0.75</v>
      </c>
      <c r="BK12" s="51"/>
      <c r="BL12" s="65">
        <v>1.03</v>
      </c>
      <c r="BM12" s="51"/>
      <c r="BN12" s="65"/>
      <c r="BO12" s="52"/>
    </row>
    <row r="13" spans="1:67" s="196" customFormat="1" ht="13.15" customHeight="1">
      <c r="A13" s="55"/>
      <c r="B13" s="57"/>
      <c r="C13" s="55"/>
      <c r="D13" s="56"/>
      <c r="E13" s="55"/>
      <c r="F13" s="56"/>
      <c r="G13" s="57"/>
      <c r="H13" s="55"/>
      <c r="I13" s="55"/>
      <c r="J13" s="57"/>
      <c r="K13" s="57"/>
      <c r="L13" s="55"/>
      <c r="M13" s="57"/>
      <c r="N13" s="55"/>
      <c r="O13" s="56"/>
      <c r="P13" s="55"/>
      <c r="Q13" s="56"/>
      <c r="R13" s="57"/>
      <c r="S13" s="55"/>
      <c r="T13" s="55"/>
      <c r="U13" s="57"/>
      <c r="V13" s="57"/>
      <c r="AD13" s="197"/>
      <c r="AE13" s="197"/>
      <c r="AF13" s="198"/>
      <c r="AG13" s="198"/>
      <c r="AH13" s="199" t="s">
        <v>65</v>
      </c>
      <c r="AI13" s="200">
        <f>Homerun_ZinstPH</f>
        <v>6.1776</v>
      </c>
      <c r="AJ13" s="200">
        <f>Extender_ZinstPH</f>
        <v>9.9590399999999999</v>
      </c>
      <c r="AK13" s="200">
        <f>SD_ZinstPH</f>
        <v>16.598400000000002</v>
      </c>
      <c r="AL13" s="201"/>
      <c r="AM13" s="202"/>
      <c r="AN13" s="203" t="s">
        <v>66</v>
      </c>
      <c r="AO13" s="202"/>
      <c r="AP13" s="204" t="s">
        <v>21</v>
      </c>
      <c r="AQ13" s="205">
        <v>2.4</v>
      </c>
      <c r="AR13" s="205">
        <v>2.2999999999999998</v>
      </c>
      <c r="AS13" s="205"/>
      <c r="AT13" s="205"/>
      <c r="AU13" s="205">
        <v>2.66</v>
      </c>
      <c r="AV13" s="205"/>
      <c r="AW13" s="205">
        <v>2.2999999999999998</v>
      </c>
      <c r="AX13" s="205"/>
      <c r="AY13" s="205"/>
      <c r="AZ13" s="206"/>
      <c r="BA13" s="201"/>
      <c r="BB13" s="202"/>
      <c r="BC13" s="203" t="s">
        <v>66</v>
      </c>
      <c r="BD13" s="202"/>
      <c r="BE13" s="204" t="s">
        <v>21</v>
      </c>
      <c r="BF13" s="205">
        <v>2.4</v>
      </c>
      <c r="BG13" s="205">
        <v>2.2999999999999998</v>
      </c>
      <c r="BH13" s="205"/>
      <c r="BI13" s="205"/>
      <c r="BJ13" s="205">
        <v>2.4</v>
      </c>
      <c r="BK13" s="205"/>
      <c r="BL13" s="205">
        <v>2.2999999999999998</v>
      </c>
      <c r="BM13" s="205"/>
      <c r="BN13" s="205"/>
      <c r="BO13" s="206"/>
    </row>
    <row r="14" spans="1:67" ht="13.15" customHeight="1">
      <c r="A14" s="30" t="s">
        <v>190</v>
      </c>
      <c r="B14" s="56"/>
      <c r="C14" s="57"/>
      <c r="D14" s="55"/>
      <c r="G14" s="30" t="s">
        <v>252</v>
      </c>
      <c r="I14" s="57"/>
      <c r="J14" s="96"/>
      <c r="K14" s="72"/>
      <c r="L14" s="30" t="s">
        <v>158</v>
      </c>
      <c r="M14" s="57"/>
      <c r="O14" s="56"/>
      <c r="Q14" s="56"/>
      <c r="R14" s="57"/>
      <c r="U14" s="57"/>
      <c r="V14" s="57"/>
      <c r="AL14" s="5"/>
      <c r="AM14" s="48"/>
      <c r="AN14" s="49" t="s">
        <v>29</v>
      </c>
      <c r="AO14" s="48"/>
      <c r="AP14" s="50" t="s">
        <v>30</v>
      </c>
      <c r="AQ14" s="51">
        <v>1.2</v>
      </c>
      <c r="AR14" s="51">
        <v>1.2</v>
      </c>
      <c r="AS14" s="51"/>
      <c r="AT14" s="51"/>
      <c r="AU14" s="51">
        <v>2.66</v>
      </c>
      <c r="AV14" s="51"/>
      <c r="AW14" s="51">
        <v>1.47</v>
      </c>
      <c r="AX14" s="51"/>
      <c r="AY14" s="51"/>
      <c r="AZ14" s="52"/>
      <c r="BA14" s="5"/>
      <c r="BB14" s="48"/>
      <c r="BC14" s="49" t="s">
        <v>29</v>
      </c>
      <c r="BD14" s="48"/>
      <c r="BE14" s="50" t="s">
        <v>30</v>
      </c>
      <c r="BF14" s="51">
        <v>1.2</v>
      </c>
      <c r="BG14" s="51">
        <v>1.2</v>
      </c>
      <c r="BH14" s="51"/>
      <c r="BI14" s="51"/>
      <c r="BJ14" s="51">
        <v>1.2</v>
      </c>
      <c r="BK14" s="51"/>
      <c r="BL14" s="51">
        <v>1.1499999999999999</v>
      </c>
      <c r="BM14" s="51"/>
      <c r="BN14" s="51"/>
      <c r="BO14" s="52"/>
    </row>
    <row r="15" spans="1:67" ht="13.15" customHeight="1">
      <c r="A15" s="55" t="s">
        <v>45</v>
      </c>
      <c r="B15" s="56"/>
      <c r="D15" s="218">
        <f ca="1">AI46*100</f>
        <v>2.15</v>
      </c>
      <c r="E15" s="58" t="s">
        <v>46</v>
      </c>
      <c r="G15" s="69" t="s">
        <v>93</v>
      </c>
      <c r="I15" s="57"/>
      <c r="J15" s="153">
        <v>12</v>
      </c>
      <c r="K15" s="56"/>
      <c r="M15" s="57"/>
      <c r="O15" s="56"/>
      <c r="Q15" s="56"/>
      <c r="R15" s="57"/>
      <c r="U15" s="57"/>
      <c r="V15" s="57"/>
      <c r="AH15" s="34" t="s">
        <v>74</v>
      </c>
      <c r="AI15" s="55">
        <f>IF(CPD="BS7671",1,AI19)</f>
        <v>1.248</v>
      </c>
      <c r="AJ15" s="55">
        <f>IF(CPD="BS7671",1,AJ19)</f>
        <v>1.248</v>
      </c>
      <c r="AK15" s="55">
        <f>IF(CPD="BS7671",1,AK19)</f>
        <v>1.248</v>
      </c>
      <c r="AL15" s="5"/>
      <c r="AM15" s="48"/>
      <c r="AN15" s="49" t="s">
        <v>29</v>
      </c>
      <c r="AO15" s="48"/>
      <c r="AP15" s="50" t="s">
        <v>36</v>
      </c>
      <c r="AQ15" s="51">
        <v>0.6</v>
      </c>
      <c r="AR15" s="51">
        <v>0.8</v>
      </c>
      <c r="AS15" s="51"/>
      <c r="AT15" s="51"/>
      <c r="AU15" s="51">
        <v>2.66</v>
      </c>
      <c r="AV15" s="51"/>
      <c r="AW15" s="51">
        <v>1.47</v>
      </c>
      <c r="AX15" s="51"/>
      <c r="AY15" s="51"/>
      <c r="AZ15" s="52"/>
      <c r="BA15" s="5"/>
      <c r="BB15" s="48"/>
      <c r="BC15" s="49" t="s">
        <v>29</v>
      </c>
      <c r="BD15" s="48"/>
      <c r="BE15" s="50" t="s">
        <v>36</v>
      </c>
      <c r="BF15" s="51">
        <v>0.6</v>
      </c>
      <c r="BG15" s="51">
        <v>0.8</v>
      </c>
      <c r="BH15" s="51"/>
      <c r="BI15" s="51"/>
      <c r="BJ15" s="51">
        <v>0.6</v>
      </c>
      <c r="BK15" s="51"/>
      <c r="BL15" s="51">
        <v>0.82</v>
      </c>
      <c r="BM15" s="51"/>
      <c r="BN15" s="51"/>
      <c r="BO15" s="52"/>
    </row>
    <row r="16" spans="1:67" ht="13.15" customHeight="1">
      <c r="A16" s="55" t="s">
        <v>52</v>
      </c>
      <c r="B16" s="56"/>
      <c r="D16" s="219">
        <f ca="1">Source_Nominal_V-'14L3'!AI47</f>
        <v>225.05500000000001</v>
      </c>
      <c r="E16" s="56" t="s">
        <v>44</v>
      </c>
      <c r="G16" s="55" t="s">
        <v>96</v>
      </c>
      <c r="J16" s="154">
        <v>4</v>
      </c>
      <c r="K16" s="55" t="s">
        <v>97</v>
      </c>
      <c r="L16" s="73" t="s">
        <v>68</v>
      </c>
      <c r="M16" s="73" t="s">
        <v>68</v>
      </c>
      <c r="N16" s="74" t="s">
        <v>69</v>
      </c>
      <c r="O16" s="312" t="s">
        <v>70</v>
      </c>
      <c r="P16" s="313"/>
      <c r="Q16" s="280"/>
      <c r="R16" s="49" t="s">
        <v>71</v>
      </c>
      <c r="S16" s="74"/>
      <c r="T16" s="75" t="s">
        <v>72</v>
      </c>
      <c r="U16" s="75" t="s">
        <v>73</v>
      </c>
      <c r="V16" s="57"/>
      <c r="AL16" s="5"/>
      <c r="AM16" s="48"/>
      <c r="AN16" s="49" t="s">
        <v>83</v>
      </c>
      <c r="AO16" s="48"/>
      <c r="AP16" s="50" t="s">
        <v>21</v>
      </c>
      <c r="AQ16" s="51">
        <v>1.8</v>
      </c>
      <c r="AR16" s="51">
        <v>1.8</v>
      </c>
      <c r="AS16" s="51"/>
      <c r="AT16" s="51"/>
      <c r="AU16" s="51">
        <v>2.14</v>
      </c>
      <c r="AV16" s="51"/>
      <c r="AW16" s="51">
        <v>1.84</v>
      </c>
      <c r="AX16" s="51"/>
      <c r="AY16" s="51"/>
      <c r="AZ16" s="52"/>
      <c r="BA16" s="5"/>
      <c r="BB16" s="48"/>
      <c r="BC16" s="49" t="s">
        <v>83</v>
      </c>
      <c r="BD16" s="48"/>
      <c r="BE16" s="50" t="s">
        <v>21</v>
      </c>
      <c r="BF16" s="51">
        <v>1.8</v>
      </c>
      <c r="BG16" s="51">
        <v>1.8</v>
      </c>
      <c r="BH16" s="51"/>
      <c r="BI16" s="51"/>
      <c r="BJ16" s="51">
        <v>1.92</v>
      </c>
      <c r="BK16" s="51"/>
      <c r="BL16" s="51">
        <v>1.84</v>
      </c>
      <c r="BM16" s="51"/>
      <c r="BN16" s="51"/>
      <c r="BO16" s="52"/>
    </row>
    <row r="17" spans="1:67" ht="13.15" customHeight="1">
      <c r="A17" s="55" t="s">
        <v>55</v>
      </c>
      <c r="D17" s="259">
        <f>Ipsc_Max_DB</f>
        <v>14430</v>
      </c>
      <c r="E17" s="56" t="s">
        <v>56</v>
      </c>
      <c r="G17" s="55" t="s">
        <v>99</v>
      </c>
      <c r="I17" s="57"/>
      <c r="J17" s="155" t="s">
        <v>148</v>
      </c>
      <c r="K17" s="56"/>
      <c r="L17" s="76" t="s">
        <v>76</v>
      </c>
      <c r="M17" s="76" t="s">
        <v>77</v>
      </c>
      <c r="N17" s="77" t="s">
        <v>78</v>
      </c>
      <c r="O17" s="78" t="s">
        <v>79</v>
      </c>
      <c r="P17" s="77" t="s">
        <v>80</v>
      </c>
      <c r="Q17" s="78" t="s">
        <v>79</v>
      </c>
      <c r="R17" s="79" t="s">
        <v>80</v>
      </c>
      <c r="S17" s="80" t="s">
        <v>46</v>
      </c>
      <c r="T17" s="81" t="s">
        <v>157</v>
      </c>
      <c r="U17" s="82" t="s">
        <v>81</v>
      </c>
      <c r="V17" s="57"/>
      <c r="X17" s="83" t="s">
        <v>72</v>
      </c>
      <c r="Y17" s="83" t="s">
        <v>73</v>
      </c>
      <c r="Z17" s="83" t="s">
        <v>82</v>
      </c>
      <c r="AH17" s="34" t="s">
        <v>87</v>
      </c>
      <c r="AI17" s="34">
        <v>1.04</v>
      </c>
      <c r="AJ17" s="34">
        <f>AI17</f>
        <v>1.04</v>
      </c>
      <c r="AK17" s="34">
        <f>AJ17</f>
        <v>1.04</v>
      </c>
      <c r="AL17" s="5"/>
      <c r="AM17" s="48"/>
      <c r="AN17" s="49" t="s">
        <v>29</v>
      </c>
      <c r="AO17" s="48"/>
      <c r="AP17" s="50" t="s">
        <v>30</v>
      </c>
      <c r="AQ17" s="51">
        <v>1</v>
      </c>
      <c r="AR17" s="51">
        <v>0.9</v>
      </c>
      <c r="AS17" s="51"/>
      <c r="AT17" s="51"/>
      <c r="AU17" s="51">
        <v>2.14</v>
      </c>
      <c r="AV17" s="51"/>
      <c r="AW17" s="51">
        <v>1.18</v>
      </c>
      <c r="AX17" s="51"/>
      <c r="AY17" s="51"/>
      <c r="AZ17" s="52"/>
      <c r="BA17" s="5"/>
      <c r="BB17" s="48"/>
      <c r="BC17" s="49" t="s">
        <v>29</v>
      </c>
      <c r="BD17" s="48"/>
      <c r="BE17" s="50" t="s">
        <v>30</v>
      </c>
      <c r="BF17" s="51">
        <v>1</v>
      </c>
      <c r="BG17" s="51">
        <v>0.9</v>
      </c>
      <c r="BH17" s="51"/>
      <c r="BI17" s="51"/>
      <c r="BJ17" s="51">
        <v>0.96</v>
      </c>
      <c r="BK17" s="51"/>
      <c r="BL17" s="51">
        <v>0.92</v>
      </c>
      <c r="BM17" s="51"/>
      <c r="BN17" s="51"/>
      <c r="BO17" s="52"/>
    </row>
    <row r="18" spans="1:67" ht="13.15" customHeight="1">
      <c r="A18" s="55" t="s">
        <v>62</v>
      </c>
      <c r="D18" s="220">
        <f>Zs_DB</f>
        <v>7.3730000000000004E-2</v>
      </c>
      <c r="E18" s="72" t="s">
        <v>63</v>
      </c>
      <c r="G18" s="55" t="s">
        <v>206</v>
      </c>
      <c r="J18" s="55">
        <f>homerun_tp</f>
        <v>70</v>
      </c>
      <c r="K18" s="56" t="s">
        <v>261</v>
      </c>
      <c r="L18" s="225" t="s">
        <v>256</v>
      </c>
      <c r="M18" s="225" t="s">
        <v>86</v>
      </c>
      <c r="N18" s="226">
        <f>D23</f>
        <v>19</v>
      </c>
      <c r="O18" s="227" t="s">
        <v>86</v>
      </c>
      <c r="P18" s="85">
        <f>ROUND((P19),2)</f>
        <v>6.13</v>
      </c>
      <c r="Q18" s="84">
        <f>ROUND((((homerun_Vd)*P18*N18/1000)),4)</f>
        <v>1.3976</v>
      </c>
      <c r="R18" s="86">
        <f>Q18</f>
        <v>1.3976</v>
      </c>
      <c r="S18" s="87">
        <f t="shared" ref="S18:S45" si="3">ROUNDUP((100/nominal_V*R18),2)</f>
        <v>0.61</v>
      </c>
      <c r="T18" s="85">
        <f>ROUND((Ze+((homerun_PELI*N18/1000))),2)</f>
        <v>0.31</v>
      </c>
      <c r="U18" s="88">
        <f>ROUNDUP((nominal_V/((nominal_V/Ipsc)+(((homerun_R20c*mdb_CPD_R_Factor*N18*2)/1000)))),0)</f>
        <v>918</v>
      </c>
      <c r="V18" s="57"/>
      <c r="X18" s="89">
        <f>T18</f>
        <v>0.31</v>
      </c>
      <c r="Y18" s="89">
        <f>U18</f>
        <v>918</v>
      </c>
      <c r="Z18" s="89">
        <f>S18</f>
        <v>0.61</v>
      </c>
      <c r="AH18" s="34" t="s">
        <v>89</v>
      </c>
      <c r="AI18" s="34">
        <f>IF(homerun_tp=70,1.2,IF(homerun_tp=90,1.28,"ERR"))</f>
        <v>1.2</v>
      </c>
      <c r="AJ18" s="34">
        <f>IF(extender_tp,1.2,IF(extender_tp=90,1.28,"ERR"))</f>
        <v>1.2</v>
      </c>
      <c r="AK18" s="34">
        <f>IF(extender_tp,1.2,IF(extender_tp=90,1.28,"ERR"))</f>
        <v>1.2</v>
      </c>
      <c r="AL18" s="5"/>
      <c r="AM18" s="48"/>
      <c r="AN18" s="49" t="s">
        <v>29</v>
      </c>
      <c r="AO18" s="48"/>
      <c r="AP18" s="50" t="s">
        <v>36</v>
      </c>
      <c r="AQ18" s="51">
        <v>0.46</v>
      </c>
      <c r="AR18" s="51">
        <v>0.7</v>
      </c>
      <c r="AS18" s="51"/>
      <c r="AT18" s="51"/>
      <c r="AU18" s="51">
        <v>2.14</v>
      </c>
      <c r="AV18" s="51"/>
      <c r="AW18" s="51">
        <v>1.18</v>
      </c>
      <c r="AX18" s="51"/>
      <c r="AY18" s="51"/>
      <c r="AZ18" s="52"/>
      <c r="BA18" s="5"/>
      <c r="BB18" s="48"/>
      <c r="BC18" s="49" t="s">
        <v>29</v>
      </c>
      <c r="BD18" s="48"/>
      <c r="BE18" s="50" t="s">
        <v>36</v>
      </c>
      <c r="BF18" s="51">
        <v>0.46</v>
      </c>
      <c r="BG18" s="51">
        <v>0.7</v>
      </c>
      <c r="BH18" s="51"/>
      <c r="BI18" s="51"/>
      <c r="BJ18" s="51">
        <v>0.48</v>
      </c>
      <c r="BK18" s="51"/>
      <c r="BL18" s="51">
        <v>0.66</v>
      </c>
      <c r="BM18" s="51"/>
      <c r="BN18" s="51"/>
      <c r="BO18" s="52"/>
    </row>
    <row r="19" spans="1:67" ht="13.15" customHeight="1">
      <c r="D19" s="55"/>
      <c r="E19" s="56"/>
      <c r="G19" s="55" t="s">
        <v>101</v>
      </c>
      <c r="I19" s="57"/>
      <c r="J19" s="55">
        <f>homerun_It1</f>
        <v>34</v>
      </c>
      <c r="K19" s="56" t="s">
        <v>56</v>
      </c>
      <c r="L19" s="243" t="s">
        <v>259</v>
      </c>
      <c r="M19" s="228">
        <v>1</v>
      </c>
      <c r="N19" s="229">
        <v>0</v>
      </c>
      <c r="O19" s="230">
        <f>((Lum_Q*5))/230</f>
        <v>2.3695652173913042</v>
      </c>
      <c r="P19" s="231">
        <f t="shared" ref="P19:P45" si="4">ROUND((P20+O19),2)</f>
        <v>6.13</v>
      </c>
      <c r="Q19" s="90">
        <f>IF(L19="FW",(ROUND((((extender_Vd*P19*N19)/1000)),4)),IF(L19="FL",(ROUND((((SD_Vd*P19*N19)/1000)),4)),0))</f>
        <v>0</v>
      </c>
      <c r="R19" s="91">
        <f t="shared" ref="R19:R45" si="5">IF(M19=0,0,IF(M19&gt;0.5,Q19+R18,err))</f>
        <v>1.3976</v>
      </c>
      <c r="S19" s="87">
        <f t="shared" si="3"/>
        <v>0.61</v>
      </c>
      <c r="T19" s="92">
        <f t="shared" ref="T19:T45" si="6">ROUNDUP((IF(M19=0,0,IF(M19&gt;0.5,(T18+((extender_PELI*N19)/1000))))),2)</f>
        <v>0.31</v>
      </c>
      <c r="U19" s="93">
        <f>IF(M19=0,0,IF(M19&gt;0.5,(nominal_V/((nominal_V/U18)+((extender_R20cPHA*extender_CPD_R_Factor*N19*2)/1000)))))</f>
        <v>918.00000000000011</v>
      </c>
      <c r="V19" s="57"/>
      <c r="X19" s="94">
        <f t="shared" ref="X19:X45" si="7">IF(M19=0,0,IF(M19&gt;0.5,(T19-T18)))</f>
        <v>0</v>
      </c>
      <c r="Y19" s="94">
        <f t="shared" ref="Y19:Y45" si="8">IF(M19=0,0,IF(M19&gt;0.5,(U19-U18)))</f>
        <v>1.1368683772161603E-13</v>
      </c>
      <c r="Z19" s="94">
        <f t="shared" ref="Z19:Z45" si="9">IF(M19=0,0,IF(M19&gt;0.5,(S19-S18)))</f>
        <v>0</v>
      </c>
      <c r="AH19" s="53" t="s">
        <v>91</v>
      </c>
      <c r="AI19" s="95">
        <f>AI17*AI18</f>
        <v>1.248</v>
      </c>
      <c r="AJ19" s="95">
        <f>AJ17*AJ18</f>
        <v>1.248</v>
      </c>
      <c r="AK19" s="95">
        <f>AK17*AK18</f>
        <v>1.248</v>
      </c>
      <c r="AL19" s="5"/>
      <c r="AM19" s="48"/>
      <c r="AN19" s="49" t="s">
        <v>92</v>
      </c>
      <c r="AO19" s="48"/>
      <c r="AP19" s="50" t="s">
        <v>21</v>
      </c>
      <c r="AQ19" s="51">
        <v>1.5</v>
      </c>
      <c r="AR19" s="51">
        <v>1.4</v>
      </c>
      <c r="AS19" s="51"/>
      <c r="AT19" s="51"/>
      <c r="AU19" s="51">
        <v>1.66</v>
      </c>
      <c r="AV19" s="51"/>
      <c r="AW19" s="51">
        <v>1.44</v>
      </c>
      <c r="AX19" s="51"/>
      <c r="AY19" s="51"/>
      <c r="AZ19" s="52"/>
      <c r="BA19" s="5"/>
      <c r="BB19" s="48"/>
      <c r="BC19" s="49" t="s">
        <v>92</v>
      </c>
      <c r="BD19" s="48"/>
      <c r="BE19" s="50" t="s">
        <v>21</v>
      </c>
      <c r="BF19" s="51">
        <v>1.5</v>
      </c>
      <c r="BG19" s="51">
        <v>1.4</v>
      </c>
      <c r="BH19" s="51"/>
      <c r="BI19" s="51"/>
      <c r="BJ19" s="51">
        <v>1.5</v>
      </c>
      <c r="BK19" s="51"/>
      <c r="BL19" s="51">
        <v>1.44</v>
      </c>
      <c r="BM19" s="51"/>
      <c r="BN19" s="51"/>
      <c r="BO19" s="52"/>
    </row>
    <row r="20" spans="1:67" ht="13.15" customHeight="1">
      <c r="G20" s="55" t="s">
        <v>103</v>
      </c>
      <c r="I20" s="57"/>
      <c r="J20" s="55">
        <f>homerun_Vd1</f>
        <v>12</v>
      </c>
      <c r="K20" s="237" t="s">
        <v>104</v>
      </c>
      <c r="L20" s="244" t="s">
        <v>259</v>
      </c>
      <c r="M20" s="228">
        <v>2</v>
      </c>
      <c r="N20" s="229">
        <v>1.7</v>
      </c>
      <c r="O20" s="230">
        <f t="shared" ref="O20:O31" si="10">((Lum_Q*1))/230</f>
        <v>0.47391304347826085</v>
      </c>
      <c r="P20" s="231">
        <f t="shared" si="4"/>
        <v>3.76</v>
      </c>
      <c r="Q20" s="90">
        <f>IF(L20="FW",(ROUND((((extender_Vd*P20*N20)/1000)),4)),IF(L20="FL",(ROUND((((SD_Vd*P20*N20)/1000)),4)),0))</f>
        <v>0.11509999999999999</v>
      </c>
      <c r="R20" s="91">
        <f t="shared" si="5"/>
        <v>1.5126999999999999</v>
      </c>
      <c r="S20" s="87">
        <f t="shared" si="3"/>
        <v>0.66</v>
      </c>
      <c r="T20" s="92">
        <f t="shared" si="6"/>
        <v>0.35000000000000003</v>
      </c>
      <c r="U20" s="93">
        <f>IF(M20=0,0,IF(M20&gt;0.5,(nominal_V/((nominal_V/U19)+((extender_R20cPHA*extender_CPD_R_Factor*N20*2)/1000)))))</f>
        <v>808.70476217125974</v>
      </c>
      <c r="V20" s="57"/>
      <c r="X20" s="94">
        <f t="shared" si="7"/>
        <v>4.0000000000000036E-2</v>
      </c>
      <c r="Y20" s="94">
        <f t="shared" si="8"/>
        <v>-109.29523782874037</v>
      </c>
      <c r="Z20" s="94">
        <f t="shared" si="9"/>
        <v>5.0000000000000044E-2</v>
      </c>
      <c r="AI20" s="71"/>
      <c r="AJ20" s="55"/>
      <c r="AK20" s="55"/>
      <c r="AL20" s="5"/>
      <c r="AM20" s="62"/>
      <c r="AN20" s="63" t="s">
        <v>29</v>
      </c>
      <c r="AO20" s="62"/>
      <c r="AP20" s="64" t="s">
        <v>30</v>
      </c>
      <c r="AQ20" s="65">
        <v>0.75</v>
      </c>
      <c r="AR20" s="65">
        <v>0.7</v>
      </c>
      <c r="AS20" s="65"/>
      <c r="AT20" s="65"/>
      <c r="AU20" s="51">
        <v>1.66</v>
      </c>
      <c r="AV20" s="65"/>
      <c r="AW20" s="65">
        <v>0.92</v>
      </c>
      <c r="AX20" s="65"/>
      <c r="AY20" s="51"/>
      <c r="AZ20" s="66"/>
      <c r="BA20" s="5"/>
      <c r="BB20" s="62"/>
      <c r="BC20" s="63" t="s">
        <v>29</v>
      </c>
      <c r="BD20" s="62"/>
      <c r="BE20" s="64" t="s">
        <v>30</v>
      </c>
      <c r="BF20" s="65">
        <v>0.75</v>
      </c>
      <c r="BG20" s="65">
        <v>0.7</v>
      </c>
      <c r="BH20" s="65"/>
      <c r="BI20" s="65"/>
      <c r="BJ20" s="51">
        <v>0.75</v>
      </c>
      <c r="BK20" s="65"/>
      <c r="BL20" s="65">
        <v>0.72</v>
      </c>
      <c r="BM20" s="65"/>
      <c r="BN20" s="51"/>
      <c r="BO20" s="66"/>
    </row>
    <row r="21" spans="1:67" ht="13.15" customHeight="1">
      <c r="A21" s="30" t="s">
        <v>191</v>
      </c>
      <c r="B21" s="2"/>
      <c r="D21" s="7"/>
      <c r="E21" s="31"/>
      <c r="G21" s="55" t="s">
        <v>105</v>
      </c>
      <c r="I21" s="57"/>
      <c r="J21" s="55">
        <f>homerun_Z1</f>
        <v>4.95</v>
      </c>
      <c r="K21" s="238" t="s">
        <v>106</v>
      </c>
      <c r="L21" s="244" t="s">
        <v>259</v>
      </c>
      <c r="M21" s="228">
        <v>3</v>
      </c>
      <c r="N21" s="229">
        <v>3.7</v>
      </c>
      <c r="O21" s="230">
        <f t="shared" si="10"/>
        <v>0.47391304347826085</v>
      </c>
      <c r="P21" s="231">
        <f t="shared" si="4"/>
        <v>3.29</v>
      </c>
      <c r="Q21" s="90">
        <f>IF(L21="FW",(ROUND((((extender_Vd*P21*N21)/1000)),4)),IF(L21="FL",(ROUND((((SD_Vd*P21*N21)/1000)),4)),0))</f>
        <v>0.21909999999999999</v>
      </c>
      <c r="R21" s="91">
        <f t="shared" si="5"/>
        <v>1.7318</v>
      </c>
      <c r="S21" s="87">
        <f t="shared" si="3"/>
        <v>0.76</v>
      </c>
      <c r="T21" s="92">
        <f t="shared" si="6"/>
        <v>0.43</v>
      </c>
      <c r="U21" s="93">
        <f t="shared" ref="U21:U45" si="11">IF(M21=0,0,IF(M21&gt;0.5,(nominal_V/((nominal_V/U20)+((extender_R20cPHA*extender_CPD_R_Factor*N21*2)/1000)))))</f>
        <v>642.27457811622025</v>
      </c>
      <c r="V21" s="57"/>
      <c r="X21" s="94">
        <f t="shared" si="7"/>
        <v>7.999999999999996E-2</v>
      </c>
      <c r="Y21" s="94">
        <f t="shared" si="8"/>
        <v>-166.43018405503949</v>
      </c>
      <c r="Z21" s="94">
        <f t="shared" si="9"/>
        <v>9.9999999999999978E-2</v>
      </c>
      <c r="AH21" s="42"/>
      <c r="AI21" s="5"/>
      <c r="AJ21" s="5"/>
      <c r="AK21" s="5"/>
      <c r="AL21" s="5"/>
      <c r="AM21" s="48"/>
      <c r="AN21" s="49" t="s">
        <v>29</v>
      </c>
      <c r="AO21" s="48"/>
      <c r="AP21" s="50" t="s">
        <v>36</v>
      </c>
      <c r="AQ21" s="51">
        <v>0.38</v>
      </c>
      <c r="AR21" s="51">
        <v>0.5</v>
      </c>
      <c r="AS21" s="51"/>
      <c r="AT21" s="51"/>
      <c r="AU21" s="51">
        <v>1.66</v>
      </c>
      <c r="AV21" s="51"/>
      <c r="AW21" s="51">
        <v>0.92</v>
      </c>
      <c r="AX21" s="51"/>
      <c r="AY21" s="51"/>
      <c r="AZ21" s="52"/>
      <c r="BA21" s="5"/>
      <c r="BB21" s="48"/>
      <c r="BC21" s="49" t="s">
        <v>29</v>
      </c>
      <c r="BD21" s="48"/>
      <c r="BE21" s="50" t="s">
        <v>36</v>
      </c>
      <c r="BF21" s="51">
        <v>0.38</v>
      </c>
      <c r="BG21" s="51">
        <v>0.5</v>
      </c>
      <c r="BH21" s="51"/>
      <c r="BI21" s="51"/>
      <c r="BJ21" s="51">
        <v>0.37</v>
      </c>
      <c r="BK21" s="51"/>
      <c r="BL21" s="51">
        <v>0.51</v>
      </c>
      <c r="BM21" s="51"/>
      <c r="BN21" s="51"/>
      <c r="BO21" s="52"/>
    </row>
    <row r="22" spans="1:67" ht="13.15" customHeight="1" thickBot="1">
      <c r="A22" s="55" t="s">
        <v>43</v>
      </c>
      <c r="D22" s="221">
        <f>Source_Nominal_V</f>
        <v>230</v>
      </c>
      <c r="E22" s="56" t="s">
        <v>44</v>
      </c>
      <c r="G22" s="55" t="s">
        <v>108</v>
      </c>
      <c r="I22" s="57"/>
      <c r="J22" s="55">
        <f>ROUNDUP((Homerun_ZinstPH+Homerun_ZinstCPC),2)</f>
        <v>12.36</v>
      </c>
      <c r="K22" s="238" t="s">
        <v>106</v>
      </c>
      <c r="L22" s="244" t="s">
        <v>259</v>
      </c>
      <c r="M22" s="228">
        <v>4</v>
      </c>
      <c r="N22" s="229">
        <v>3.2</v>
      </c>
      <c r="O22" s="230">
        <f t="shared" si="10"/>
        <v>0.47391304347826085</v>
      </c>
      <c r="P22" s="231">
        <f t="shared" si="4"/>
        <v>2.82</v>
      </c>
      <c r="Q22" s="90">
        <f>IF(L22="FW",(ROUND((((extender_Vd*P22*N22)/1000)),4)),IF(L22="FL",(ROUND((((SD_Vd*P22*N22)/1000)),4)),0))</f>
        <v>0.16239999999999999</v>
      </c>
      <c r="R22" s="91">
        <f t="shared" si="5"/>
        <v>1.8942000000000001</v>
      </c>
      <c r="S22" s="87">
        <f t="shared" si="3"/>
        <v>0.83</v>
      </c>
      <c r="T22" s="92">
        <f t="shared" si="6"/>
        <v>0.5</v>
      </c>
      <c r="U22" s="93">
        <f t="shared" si="11"/>
        <v>545.2302248406728</v>
      </c>
      <c r="V22" s="57"/>
      <c r="X22" s="94">
        <f t="shared" si="7"/>
        <v>7.0000000000000007E-2</v>
      </c>
      <c r="Y22" s="94">
        <f t="shared" si="8"/>
        <v>-97.044353275547451</v>
      </c>
      <c r="Z22" s="94">
        <f t="shared" si="9"/>
        <v>6.9999999999999951E-2</v>
      </c>
      <c r="AH22" s="97" t="s">
        <v>94</v>
      </c>
      <c r="AI22" s="54">
        <f>IF(homerun_ins="LSFZH",70,IF(homerun_ins="XL-LSFZH",90,"ERR"))</f>
        <v>70</v>
      </c>
      <c r="AJ22" s="54">
        <f>IF(extender_ins="LSFZH",70,IF(extender_ins="XL-LSFZH",90,"ERR"))</f>
        <v>70</v>
      </c>
      <c r="AK22" s="54">
        <f>IF(extender_ins="LSFZH",70,IF(extender_ins="XL-LSFZH",90,"ERR"))</f>
        <v>70</v>
      </c>
      <c r="AL22" s="56" t="s">
        <v>95</v>
      </c>
      <c r="AM22" s="98"/>
      <c r="AN22" s="98"/>
      <c r="AO22" s="98"/>
      <c r="AP22" s="99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5"/>
      <c r="BB22" s="98"/>
      <c r="BC22" s="98"/>
      <c r="BD22" s="98"/>
      <c r="BE22" s="99"/>
      <c r="BF22" s="100"/>
      <c r="BG22" s="100"/>
      <c r="BH22" s="100"/>
      <c r="BI22" s="100"/>
      <c r="BJ22" s="100"/>
      <c r="BK22" s="100"/>
      <c r="BL22" s="100"/>
      <c r="BM22" s="100"/>
      <c r="BN22" s="100"/>
      <c r="BO22" s="101"/>
    </row>
    <row r="23" spans="1:67" ht="13.15" customHeight="1">
      <c r="A23" s="55" t="s">
        <v>50</v>
      </c>
      <c r="B23" s="67"/>
      <c r="D23" s="222">
        <v>19</v>
      </c>
      <c r="E23" s="56" t="s">
        <v>51</v>
      </c>
      <c r="G23" s="55" t="s">
        <v>64</v>
      </c>
      <c r="I23" s="57"/>
      <c r="J23" s="110">
        <f>AQ58</f>
        <v>918</v>
      </c>
      <c r="K23" s="237" t="s">
        <v>56</v>
      </c>
      <c r="L23" s="244" t="s">
        <v>259</v>
      </c>
      <c r="M23" s="228">
        <v>5</v>
      </c>
      <c r="N23" s="229">
        <v>5.2</v>
      </c>
      <c r="O23" s="230">
        <f t="shared" si="10"/>
        <v>0.47391304347826085</v>
      </c>
      <c r="P23" s="231">
        <f t="shared" si="4"/>
        <v>2.35</v>
      </c>
      <c r="Q23" s="90">
        <f>IF(L23="FW",(ROUND((((extender_Vd*P23*N23)/1000)),4)),IF(L23="FL",(ROUND((((SD_Vd*P23*N23)/1000)),4)),0))</f>
        <v>0.22</v>
      </c>
      <c r="R23" s="91">
        <f t="shared" si="5"/>
        <v>2.1142000000000003</v>
      </c>
      <c r="S23" s="87">
        <f t="shared" si="3"/>
        <v>0.92</v>
      </c>
      <c r="T23" s="92">
        <f t="shared" si="6"/>
        <v>0.61</v>
      </c>
      <c r="U23" s="93">
        <f t="shared" si="11"/>
        <v>437.7499023590737</v>
      </c>
      <c r="V23" s="57"/>
      <c r="X23" s="94">
        <f t="shared" si="7"/>
        <v>0.10999999999999999</v>
      </c>
      <c r="Y23" s="94">
        <f t="shared" si="8"/>
        <v>-107.4803224815991</v>
      </c>
      <c r="Z23" s="94">
        <f t="shared" si="9"/>
        <v>9.000000000000008E-2</v>
      </c>
      <c r="AH23" s="97" t="s">
        <v>98</v>
      </c>
      <c r="AI23" s="54">
        <f>IF(homerun_ins="LSFZH",160,IF(homerun_ins="XL-LSFZH",250,"ERR"))</f>
        <v>160</v>
      </c>
      <c r="AJ23" s="54">
        <f>IF(extender_ins="LSFZH",160,IF(extender_ins="XL-LSFZH",250,"ERR"))</f>
        <v>160</v>
      </c>
      <c r="AK23" s="54">
        <f>IF(extender_ins="LSFZH",160,IF(extender_ins="XL-LSFZH",250,"ERR"))</f>
        <v>160</v>
      </c>
      <c r="AL23" s="56" t="s">
        <v>95</v>
      </c>
      <c r="BA23" s="5"/>
      <c r="BB23" s="5"/>
    </row>
    <row r="24" spans="1:67" ht="13.15" customHeight="1">
      <c r="A24" s="69" t="s">
        <v>54</v>
      </c>
      <c r="B24" s="69"/>
      <c r="D24" s="70">
        <f ca="1">(Max_VD_percent*100)-VD_Source</f>
        <v>1.85</v>
      </c>
      <c r="E24" s="58" t="s">
        <v>46</v>
      </c>
      <c r="G24" s="55" t="s">
        <v>110</v>
      </c>
      <c r="I24" s="57"/>
      <c r="J24" s="110">
        <f>AQ76</f>
        <v>2500</v>
      </c>
      <c r="K24" s="237"/>
      <c r="L24" s="244" t="s">
        <v>259</v>
      </c>
      <c r="M24" s="228">
        <v>6</v>
      </c>
      <c r="N24" s="229">
        <v>3.7</v>
      </c>
      <c r="O24" s="230">
        <f t="shared" si="10"/>
        <v>0.47391304347826085</v>
      </c>
      <c r="P24" s="231">
        <f t="shared" si="4"/>
        <v>1.88</v>
      </c>
      <c r="Q24" s="90">
        <f>IF(L24="FW",(ROUND((((extender_Vd*P24*N24)/1000)),4)),IF(L24="FL",(ROUND((((SD_Vd*P24*N24)/1000)),4)),0))</f>
        <v>0.12520000000000001</v>
      </c>
      <c r="R24" s="91">
        <f t="shared" si="5"/>
        <v>2.2394000000000003</v>
      </c>
      <c r="S24" s="87">
        <f t="shared" si="3"/>
        <v>0.98</v>
      </c>
      <c r="T24" s="92">
        <f t="shared" si="6"/>
        <v>0.69000000000000006</v>
      </c>
      <c r="U24" s="93">
        <f t="shared" si="11"/>
        <v>383.90210842281687</v>
      </c>
      <c r="V24" s="57"/>
      <c r="X24" s="94">
        <f t="shared" si="7"/>
        <v>8.0000000000000071E-2</v>
      </c>
      <c r="Y24" s="94">
        <f t="shared" si="8"/>
        <v>-53.847793936256835</v>
      </c>
      <c r="Z24" s="94">
        <f t="shared" si="9"/>
        <v>5.9999999999999942E-2</v>
      </c>
      <c r="AM24" s="19"/>
      <c r="AN24" s="19"/>
      <c r="AO24" s="19"/>
      <c r="AP24" s="17"/>
      <c r="BA24" s="5"/>
      <c r="BB24" s="5"/>
      <c r="BC24" s="71"/>
    </row>
    <row r="25" spans="1:67" ht="13.15" customHeight="1">
      <c r="A25" s="55" t="s">
        <v>60</v>
      </c>
      <c r="D25" s="217">
        <f>IF(C8="Power",0.4,IF(C8="Lighting",0.4,"err"))</f>
        <v>0.4</v>
      </c>
      <c r="E25" s="56" t="s">
        <v>61</v>
      </c>
      <c r="G25" s="55" t="s">
        <v>111</v>
      </c>
      <c r="I25" s="57"/>
      <c r="J25" s="110">
        <f>143^2*homerun_csa^2</f>
        <v>327184</v>
      </c>
      <c r="K25" s="237"/>
      <c r="L25" s="244" t="s">
        <v>259</v>
      </c>
      <c r="M25" s="228">
        <v>7</v>
      </c>
      <c r="N25" s="229">
        <v>3.7</v>
      </c>
      <c r="O25" s="230">
        <f t="shared" si="10"/>
        <v>0.47391304347826085</v>
      </c>
      <c r="P25" s="231">
        <f t="shared" si="4"/>
        <v>1.41</v>
      </c>
      <c r="Q25" s="90">
        <f>IF(L25="FW",(ROUND((((extender_Vd*P25*N25)/1000)),4)),IF(L25="FL",(ROUND((((SD_Vd*P25*N25)/1000)),4)),0))</f>
        <v>9.3899999999999997E-2</v>
      </c>
      <c r="R25" s="91">
        <f t="shared" si="5"/>
        <v>2.3333000000000004</v>
      </c>
      <c r="S25" s="87">
        <f t="shared" si="3"/>
        <v>1.02</v>
      </c>
      <c r="T25" s="92">
        <f t="shared" si="6"/>
        <v>0.77</v>
      </c>
      <c r="U25" s="93">
        <f t="shared" si="11"/>
        <v>341.85089097035069</v>
      </c>
      <c r="V25" s="57"/>
      <c r="X25" s="94">
        <f t="shared" si="7"/>
        <v>7.999999999999996E-2</v>
      </c>
      <c r="Y25" s="94">
        <f t="shared" si="8"/>
        <v>-42.051217452466176</v>
      </c>
      <c r="Z25" s="94">
        <f t="shared" si="9"/>
        <v>4.0000000000000036E-2</v>
      </c>
      <c r="AH25" s="53" t="s">
        <v>102</v>
      </c>
      <c r="AI25" s="106">
        <f>IF(ccts_mdb=1,1,IF(ccts_mdb=2,0.86,IF(ccts_mdb=3,0.81,IF(ccts_mdb=4,0.77,IF(ccts_mdb=5,0.75,IF(ccts_mdb=6,0.74,IF(ccts_mdb=7,0.73,IF(ccts_mdb=8,0.73,0))))))))</f>
        <v>0</v>
      </c>
      <c r="AJ25" s="106">
        <f>IF(ccts_extender=1,1,IF(ccts_extender=2,0.86,IF(ccts_extender=3,0.81,IF(ccts_extender=4,0.77,IF(ccts_extender=5,0.75,IF(ccts_extender=6,0.74,IF(ccts_extender=7,0.73,IF(ccts_extender=8,0.73,0))))))))</f>
        <v>1</v>
      </c>
      <c r="AK25" s="106">
        <f>IF(ccts_SD=1,1,IF(ccts_SD=2,0.86,IF(ccts_SD=3,0.81,IF(ccts_SD=4,0.77,IF(ccts_SD=5,0.75,IF(ccts_SD=6,0.74,IF(ccts_SD=7,0.73,IF(ccts_SD=8,0.73,0))))))))</f>
        <v>1</v>
      </c>
      <c r="AM25" s="19"/>
      <c r="AN25" s="19"/>
      <c r="AO25" s="19"/>
      <c r="AP25" s="107"/>
      <c r="BA25" s="5"/>
      <c r="BB25" s="5"/>
    </row>
    <row r="26" spans="1:67" ht="13.15" customHeight="1">
      <c r="G26" s="54" t="s">
        <v>113</v>
      </c>
      <c r="I26" s="57"/>
      <c r="J26" s="113" t="str">
        <f>AI41</f>
        <v>ü</v>
      </c>
      <c r="K26" s="237"/>
      <c r="L26" s="244" t="s">
        <v>259</v>
      </c>
      <c r="M26" s="228">
        <v>8</v>
      </c>
      <c r="N26" s="229">
        <v>3.7</v>
      </c>
      <c r="O26" s="230">
        <f t="shared" si="10"/>
        <v>0.47391304347826085</v>
      </c>
      <c r="P26" s="231">
        <f t="shared" si="4"/>
        <v>0.94</v>
      </c>
      <c r="Q26" s="90">
        <f>IF(L26="FW",(ROUND((((extender_Vd*P26*N26)/1000)),4)),IF(L26="FL",(ROUND((((SD_Vd*P26*N26)/1000)),4)),0))</f>
        <v>6.2600000000000003E-2</v>
      </c>
      <c r="R26" s="91">
        <f t="shared" si="5"/>
        <v>2.3959000000000006</v>
      </c>
      <c r="S26" s="87">
        <f t="shared" si="3"/>
        <v>1.05</v>
      </c>
      <c r="T26" s="92">
        <f t="shared" si="6"/>
        <v>0.85</v>
      </c>
      <c r="U26" s="93">
        <f t="shared" si="11"/>
        <v>308.10248409273299</v>
      </c>
      <c r="V26" s="57"/>
      <c r="X26" s="94">
        <f t="shared" si="7"/>
        <v>7.999999999999996E-2</v>
      </c>
      <c r="Y26" s="94">
        <f t="shared" si="8"/>
        <v>-33.748406877617697</v>
      </c>
      <c r="Z26" s="94">
        <f t="shared" si="9"/>
        <v>3.0000000000000027E-2</v>
      </c>
      <c r="AI26" s="11">
        <f>IF(ccts_mdb=9,0.72,IF(ccts_mdb=10,0.71,IF(ccts_mdb=11,0.7,IF(ccts_mdb=12,0.7,IF(ccts_mdb&gt;12,0.7,0)))))</f>
        <v>0.7</v>
      </c>
      <c r="AJ26" s="11">
        <f>IF(ccts_extender=9,0.72,IF(ccts_extender=10,0.71,IF(ccts_extender=11,0.7,IF(ccts_extender=12,0.7,IF(ccts_extender&gt;12,0.7,0)))))</f>
        <v>0</v>
      </c>
      <c r="AK26" s="11">
        <f>IF(ccts_extender=9,0.72,IF(ccts_extender=10,0.71,IF(ccts_extender=11,0.7,IF(ccts_extender=12,0.7,IF(ccts_extender&gt;12,0.7,0)))))</f>
        <v>0</v>
      </c>
      <c r="AL26" s="56"/>
      <c r="AM26" s="18"/>
      <c r="AN26" s="18"/>
      <c r="AO26" s="18"/>
      <c r="AP26" s="108"/>
      <c r="AQ26" s="109"/>
      <c r="BA26" s="5"/>
      <c r="BB26" s="5"/>
    </row>
    <row r="27" spans="1:67" ht="13.15" customHeight="1">
      <c r="G27" s="7"/>
      <c r="I27" s="7"/>
      <c r="J27" s="7"/>
      <c r="K27" s="239"/>
      <c r="L27" s="244" t="s">
        <v>259</v>
      </c>
      <c r="M27" s="228">
        <v>9</v>
      </c>
      <c r="N27" s="229">
        <v>3.7</v>
      </c>
      <c r="O27" s="230"/>
      <c r="P27" s="231">
        <f t="shared" si="4"/>
        <v>0.47</v>
      </c>
      <c r="Q27" s="90">
        <f>IF(L27="FW",(ROUND((((extender_Vd*P27*N27)/1000)),4)),IF(L27="FL",(ROUND((((SD_Vd*P27*N27)/1000)),4)),0))</f>
        <v>3.1300000000000001E-2</v>
      </c>
      <c r="R27" s="91">
        <f t="shared" si="5"/>
        <v>2.4272000000000005</v>
      </c>
      <c r="S27" s="87">
        <f t="shared" si="3"/>
        <v>1.06</v>
      </c>
      <c r="T27" s="92">
        <f t="shared" si="6"/>
        <v>0.93</v>
      </c>
      <c r="U27" s="93">
        <f t="shared" si="11"/>
        <v>280.41881148540273</v>
      </c>
      <c r="V27" s="57"/>
      <c r="X27" s="94">
        <f t="shared" si="7"/>
        <v>8.0000000000000071E-2</v>
      </c>
      <c r="Y27" s="94">
        <f t="shared" si="8"/>
        <v>-27.683672607330266</v>
      </c>
      <c r="Z27" s="94">
        <f t="shared" si="9"/>
        <v>1.0000000000000009E-2</v>
      </c>
      <c r="AH27" s="53" t="s">
        <v>107</v>
      </c>
      <c r="AI27" s="106">
        <f>SUM(AI25:AI26)</f>
        <v>0.7</v>
      </c>
      <c r="AJ27" s="106">
        <f>SUM(AJ25:AJ26)</f>
        <v>1</v>
      </c>
      <c r="AK27" s="106">
        <f>SUM(AK25:AK26)</f>
        <v>1</v>
      </c>
      <c r="AL27" s="56"/>
      <c r="AM27" s="18"/>
      <c r="AN27" s="18"/>
      <c r="AO27" s="18"/>
      <c r="AP27" s="108"/>
      <c r="AQ27" s="109"/>
      <c r="BA27" s="5"/>
      <c r="BB27" s="5"/>
    </row>
    <row r="28" spans="1:67" ht="13.15" customHeight="1">
      <c r="A28" s="30" t="s">
        <v>67</v>
      </c>
      <c r="D28" s="55"/>
      <c r="E28" s="56"/>
      <c r="K28" s="240"/>
      <c r="L28" s="244" t="s">
        <v>260</v>
      </c>
      <c r="M28" s="228">
        <v>10</v>
      </c>
      <c r="N28" s="229">
        <v>1</v>
      </c>
      <c r="O28" s="230">
        <f t="shared" si="10"/>
        <v>0.47391304347826085</v>
      </c>
      <c r="P28" s="231">
        <f t="shared" si="4"/>
        <v>0.47</v>
      </c>
      <c r="Q28" s="90">
        <f>IF(L28="FW",(ROUND((((extender_Vd*P28*N28)/1000)),4)),IF(L28="FL",(ROUND((((SD_Vd*P28*N28)/1000)),4)),0))</f>
        <v>1.4999999999999999E-2</v>
      </c>
      <c r="R28" s="91">
        <f t="shared" si="5"/>
        <v>2.4422000000000006</v>
      </c>
      <c r="S28" s="87">
        <f t="shared" si="3"/>
        <v>1.07</v>
      </c>
      <c r="T28" s="92">
        <f t="shared" si="6"/>
        <v>0.95</v>
      </c>
      <c r="U28" s="93">
        <f t="shared" si="11"/>
        <v>273.77046904761693</v>
      </c>
      <c r="V28" s="57"/>
      <c r="X28" s="94">
        <f t="shared" si="7"/>
        <v>1.9999999999999907E-2</v>
      </c>
      <c r="Y28" s="94">
        <f t="shared" si="8"/>
        <v>-6.6483424377858</v>
      </c>
      <c r="Z28" s="94">
        <f t="shared" si="9"/>
        <v>1.0000000000000009E-2</v>
      </c>
      <c r="AI28" s="55"/>
      <c r="AJ28" s="5"/>
      <c r="AK28" s="5"/>
      <c r="AL28" s="5"/>
      <c r="AM28" s="18"/>
      <c r="AN28" s="18"/>
      <c r="AO28" s="18"/>
      <c r="AP28" s="108"/>
      <c r="AQ28" s="109"/>
    </row>
    <row r="29" spans="1:67" ht="13.15" customHeight="1">
      <c r="A29" s="55" t="s">
        <v>75</v>
      </c>
      <c r="B29" s="30"/>
      <c r="D29" s="156">
        <v>10</v>
      </c>
      <c r="E29" s="55" t="s">
        <v>56</v>
      </c>
      <c r="G29" s="96" t="s">
        <v>254</v>
      </c>
      <c r="I29" s="57"/>
      <c r="J29" s="96"/>
      <c r="K29" s="237"/>
      <c r="L29" s="244"/>
      <c r="M29" s="228"/>
      <c r="N29" s="229"/>
      <c r="O29" s="230"/>
      <c r="P29" s="231">
        <f t="shared" si="4"/>
        <v>0</v>
      </c>
      <c r="Q29" s="90">
        <f>IF(L29="FW",(ROUND((((extender_Vd*P29*N29)/1000)),4)),IF(L29="FL",(ROUND((((SD_Vd*P29*N29)/1000)),4)),0))</f>
        <v>0</v>
      </c>
      <c r="R29" s="91">
        <f t="shared" si="5"/>
        <v>0</v>
      </c>
      <c r="S29" s="87">
        <f t="shared" si="3"/>
        <v>0</v>
      </c>
      <c r="T29" s="92">
        <f t="shared" si="6"/>
        <v>0</v>
      </c>
      <c r="U29" s="93">
        <f t="shared" si="11"/>
        <v>0</v>
      </c>
      <c r="V29" s="57"/>
      <c r="X29" s="94">
        <f t="shared" si="7"/>
        <v>0</v>
      </c>
      <c r="Y29" s="94">
        <f t="shared" si="8"/>
        <v>0</v>
      </c>
      <c r="Z29" s="94">
        <f t="shared" si="9"/>
        <v>0</v>
      </c>
      <c r="AH29" s="53" t="s">
        <v>109</v>
      </c>
      <c r="AI29" s="106">
        <f>In/Homerun_Cg</f>
        <v>14.285714285714286</v>
      </c>
      <c r="AJ29" s="106">
        <f>In/extender_Cg</f>
        <v>10</v>
      </c>
      <c r="AK29" s="106">
        <f>In/SD_Cg</f>
        <v>10</v>
      </c>
      <c r="AL29" s="5"/>
      <c r="AM29" s="108"/>
      <c r="AN29" s="108"/>
      <c r="AO29" s="108"/>
      <c r="AP29" s="108"/>
      <c r="AQ29" s="32">
        <f t="shared" ref="AQ29:AY29" si="12">IF(AND(In=6,cpd_type="B"),AQ4,IF(AND(In=6,cpd_type="C"),AQ5,IF(AND(In=6,cpd_type="D"),AQ6,0)))</f>
        <v>0</v>
      </c>
      <c r="AR29" s="32">
        <f t="shared" si="12"/>
        <v>0</v>
      </c>
      <c r="AS29" s="32">
        <f t="shared" si="12"/>
        <v>0</v>
      </c>
      <c r="AT29" s="32">
        <f t="shared" si="12"/>
        <v>0</v>
      </c>
      <c r="AU29" s="32">
        <f t="shared" si="12"/>
        <v>0</v>
      </c>
      <c r="AV29" s="32">
        <f t="shared" si="12"/>
        <v>0</v>
      </c>
      <c r="AW29" s="32">
        <f t="shared" si="12"/>
        <v>0</v>
      </c>
      <c r="AX29" s="32">
        <f t="shared" si="12"/>
        <v>0</v>
      </c>
      <c r="AY29" s="32">
        <f t="shared" si="12"/>
        <v>0</v>
      </c>
    </row>
    <row r="30" spans="1:67" ht="13.15" customHeight="1">
      <c r="A30" s="55" t="s">
        <v>84</v>
      </c>
      <c r="B30" s="55"/>
      <c r="D30" s="157" t="s">
        <v>30</v>
      </c>
      <c r="E30" s="56"/>
      <c r="G30" s="69" t="s">
        <v>119</v>
      </c>
      <c r="I30" s="57"/>
      <c r="J30" s="153">
        <v>1</v>
      </c>
      <c r="K30" s="237"/>
      <c r="L30" s="244"/>
      <c r="M30" s="228"/>
      <c r="N30" s="229"/>
      <c r="O30" s="230"/>
      <c r="P30" s="231">
        <f t="shared" si="4"/>
        <v>0</v>
      </c>
      <c r="Q30" s="90">
        <f>IF(L30="FW",(ROUND((((extender_Vd*P30*N30)/1000)),4)),IF(L30="FL",(ROUND((((SD_Vd*P30*N30)/1000)),4)),0))</f>
        <v>0</v>
      </c>
      <c r="R30" s="91">
        <f t="shared" si="5"/>
        <v>0</v>
      </c>
      <c r="S30" s="87">
        <f t="shared" si="3"/>
        <v>0</v>
      </c>
      <c r="T30" s="92">
        <f t="shared" si="6"/>
        <v>0</v>
      </c>
      <c r="U30" s="93">
        <f t="shared" si="11"/>
        <v>0</v>
      </c>
      <c r="V30" s="57"/>
      <c r="X30" s="94">
        <f t="shared" si="7"/>
        <v>0</v>
      </c>
      <c r="Y30" s="94">
        <f t="shared" si="8"/>
        <v>0</v>
      </c>
      <c r="Z30" s="94">
        <f t="shared" si="9"/>
        <v>0</v>
      </c>
      <c r="AL30" s="5"/>
      <c r="AQ30" s="111">
        <f>IF(AND(In=10,cpd_type="B"),AQ7,IF(AND(In=10,cpd_type="C"),AQ8,IF(AND(In=10,cpd_type="D"),AQ9,)))</f>
        <v>2.4</v>
      </c>
      <c r="AR30" s="111">
        <f t="shared" ref="AR30:AY30" si="13">IF(AND(In=10,cpd_type="B"),AR7,IF(AND(In=10,cpd_type="C"),AR8,IF(AND(In=10,cpd_type="D"),AR9,0)))</f>
        <v>2.2000000000000002</v>
      </c>
      <c r="AS30" s="111">
        <f t="shared" si="13"/>
        <v>0</v>
      </c>
      <c r="AT30" s="111">
        <f t="shared" si="13"/>
        <v>0</v>
      </c>
      <c r="AU30" s="111">
        <f t="shared" si="13"/>
        <v>5.33</v>
      </c>
      <c r="AV30" s="111">
        <f t="shared" si="13"/>
        <v>0</v>
      </c>
      <c r="AW30" s="111">
        <f t="shared" si="13"/>
        <v>2.95</v>
      </c>
      <c r="AX30" s="111">
        <f t="shared" si="13"/>
        <v>0</v>
      </c>
      <c r="AY30" s="111">
        <f t="shared" si="13"/>
        <v>0</v>
      </c>
      <c r="BC30" s="34"/>
      <c r="BE30" s="102"/>
      <c r="BF30" s="111">
        <f>IF(AND(In=10,cpd_type="B"),BF7,IF(AND(In=10,cpd_type="C"),BF8,IF(AND(In=10,cpd_type="D"),BF9,)))</f>
        <v>2.4</v>
      </c>
      <c r="BG30" s="111">
        <f t="shared" ref="BG30:BN30" si="14">IF(AND(In=10,cpd_type="B"),BG7,IF(AND(In=10,cpd_type="C"),BG8,IF(AND(In=10,cpd_type="D"),BG9,0)))</f>
        <v>2.2000000000000002</v>
      </c>
      <c r="BH30" s="111">
        <f t="shared" si="14"/>
        <v>0</v>
      </c>
      <c r="BI30" s="111">
        <f t="shared" si="14"/>
        <v>0</v>
      </c>
      <c r="BJ30" s="111">
        <f t="shared" si="14"/>
        <v>2.4</v>
      </c>
      <c r="BK30" s="111">
        <f t="shared" si="14"/>
        <v>0</v>
      </c>
      <c r="BL30" s="111">
        <f t="shared" si="14"/>
        <v>2.2999999999999998</v>
      </c>
      <c r="BM30" s="111">
        <f t="shared" si="14"/>
        <v>0</v>
      </c>
      <c r="BN30" s="111">
        <f t="shared" si="14"/>
        <v>0</v>
      </c>
    </row>
    <row r="31" spans="1:67" ht="13.15" customHeight="1">
      <c r="A31" s="55" t="s">
        <v>88</v>
      </c>
      <c r="B31" s="55"/>
      <c r="D31" s="158" t="s">
        <v>10</v>
      </c>
      <c r="E31" s="56"/>
      <c r="G31" s="55" t="s">
        <v>96</v>
      </c>
      <c r="I31" s="57"/>
      <c r="J31" s="154">
        <v>2.5</v>
      </c>
      <c r="K31" s="241" t="s">
        <v>97</v>
      </c>
      <c r="L31" s="244"/>
      <c r="M31" s="228"/>
      <c r="N31" s="229"/>
      <c r="O31" s="230"/>
      <c r="P31" s="231">
        <f t="shared" si="4"/>
        <v>0</v>
      </c>
      <c r="Q31" s="90">
        <f>IF(L31="FW",(ROUND((((extender_Vd*P31*N31)/1000)),4)),IF(L31="FL",(ROUND((((SD_Vd*P31*N31)/1000)),4)),0))</f>
        <v>0</v>
      </c>
      <c r="R31" s="91">
        <f t="shared" si="5"/>
        <v>0</v>
      </c>
      <c r="S31" s="87">
        <f t="shared" si="3"/>
        <v>0</v>
      </c>
      <c r="T31" s="92">
        <f t="shared" si="6"/>
        <v>0</v>
      </c>
      <c r="U31" s="93">
        <f t="shared" si="11"/>
        <v>0</v>
      </c>
      <c r="V31" s="57"/>
      <c r="X31" s="94">
        <f t="shared" si="7"/>
        <v>0</v>
      </c>
      <c r="Y31" s="94">
        <f t="shared" si="8"/>
        <v>0</v>
      </c>
      <c r="Z31" s="94">
        <f t="shared" si="9"/>
        <v>0</v>
      </c>
      <c r="AH31" s="53" t="s">
        <v>112</v>
      </c>
      <c r="AI31" s="106" t="str">
        <f>CPD</f>
        <v>Schneider</v>
      </c>
      <c r="AL31" s="5"/>
      <c r="AM31" s="112"/>
      <c r="AN31" s="112"/>
      <c r="AO31" s="112"/>
      <c r="AP31" s="112"/>
      <c r="AQ31" s="111">
        <f t="shared" ref="AQ31:AY31" si="15">IF(AND(In=16,cpd_type="B"),AQ10,IF(AND(In=16,cpd_type="C"),AQ11,IF(AND(In=16,cpd_type="D"),AQ12,0)))</f>
        <v>0</v>
      </c>
      <c r="AR31" s="111">
        <f t="shared" si="15"/>
        <v>0</v>
      </c>
      <c r="AS31" s="111">
        <f t="shared" si="15"/>
        <v>0</v>
      </c>
      <c r="AT31" s="111">
        <f t="shared" si="15"/>
        <v>0</v>
      </c>
      <c r="AU31" s="111">
        <f t="shared" si="15"/>
        <v>0</v>
      </c>
      <c r="AV31" s="111">
        <f t="shared" si="15"/>
        <v>0</v>
      </c>
      <c r="AW31" s="111">
        <f t="shared" si="15"/>
        <v>0</v>
      </c>
      <c r="AX31" s="111">
        <f t="shared" si="15"/>
        <v>0</v>
      </c>
      <c r="AY31" s="111">
        <f t="shared" si="15"/>
        <v>0</v>
      </c>
      <c r="BC31" s="34"/>
      <c r="BE31" s="112"/>
      <c r="BF31" s="111">
        <f t="shared" ref="BF31:BN31" si="16">IF(AND(In=16,cpd_type="B"),BF10,IF(AND(In=16,cpd_type="C"),BF11,IF(AND(In=16,cpd_type="D"),BF12,0)))</f>
        <v>0</v>
      </c>
      <c r="BG31" s="111">
        <f t="shared" si="16"/>
        <v>0</v>
      </c>
      <c r="BH31" s="111">
        <f t="shared" si="16"/>
        <v>0</v>
      </c>
      <c r="BI31" s="111">
        <f t="shared" si="16"/>
        <v>0</v>
      </c>
      <c r="BJ31" s="111">
        <f t="shared" si="16"/>
        <v>0</v>
      </c>
      <c r="BK31" s="111">
        <f t="shared" si="16"/>
        <v>0</v>
      </c>
      <c r="BL31" s="111">
        <f t="shared" si="16"/>
        <v>0</v>
      </c>
      <c r="BM31" s="111">
        <f t="shared" si="16"/>
        <v>0</v>
      </c>
      <c r="BN31" s="111">
        <f t="shared" si="16"/>
        <v>0</v>
      </c>
    </row>
    <row r="32" spans="1:67" ht="13.15" customHeight="1">
      <c r="A32" s="55" t="s">
        <v>90</v>
      </c>
      <c r="B32" s="55"/>
      <c r="D32" s="70">
        <f>Zs</f>
        <v>2.4</v>
      </c>
      <c r="E32" s="72" t="s">
        <v>63</v>
      </c>
      <c r="G32" s="55" t="s">
        <v>99</v>
      </c>
      <c r="I32" s="57"/>
      <c r="J32" s="155" t="s">
        <v>148</v>
      </c>
      <c r="K32" s="237"/>
      <c r="L32" s="244"/>
      <c r="M32" s="228"/>
      <c r="N32" s="229"/>
      <c r="O32" s="230"/>
      <c r="P32" s="231">
        <f t="shared" si="4"/>
        <v>0</v>
      </c>
      <c r="Q32" s="90">
        <f>IF(L32="FW",(ROUND((((extender_Vd*P32*N32)/1000)),4)),IF(L32="FL",(ROUND((((SD_Vd*P32*N32)/1000)),4)),0))</f>
        <v>0</v>
      </c>
      <c r="R32" s="91">
        <f t="shared" si="5"/>
        <v>0</v>
      </c>
      <c r="S32" s="87">
        <f t="shared" si="3"/>
        <v>0</v>
      </c>
      <c r="T32" s="92">
        <f t="shared" si="6"/>
        <v>0</v>
      </c>
      <c r="U32" s="93">
        <f t="shared" si="11"/>
        <v>0</v>
      </c>
      <c r="V32" s="57"/>
      <c r="X32" s="94">
        <f t="shared" si="7"/>
        <v>0</v>
      </c>
      <c r="Y32" s="94">
        <f t="shared" si="8"/>
        <v>0</v>
      </c>
      <c r="Z32" s="94">
        <f t="shared" si="9"/>
        <v>0</v>
      </c>
      <c r="AH32" s="53" t="s">
        <v>114</v>
      </c>
      <c r="AI32" s="106">
        <f>IF(CPD="BS7671",AQ35,IF(CPD="ABB",AR35,IF(CPD="Crabtree",AS35,IF(CPD="Dorman",AT35,IF(CPD="Hager",AU35,IF(CPD="MEM",AV35,IF(CPD="Schneider",AW35,IF(CPD="Sq D",AY35,"ERR"))))))))</f>
        <v>2.95</v>
      </c>
      <c r="AL32" s="5"/>
      <c r="AQ32" s="111">
        <f>IF(AND(In=20,cpd_type="B"),AQ13,IF(AND(In=20,cpd_type="C"),AQ14,IF(AND(In=20,cpd_type="D"),AQ15,0)))</f>
        <v>0</v>
      </c>
      <c r="AR32" s="111">
        <f t="shared" ref="AR32:AY32" si="17">IF(AND(In=20,cpd_type="B"),AR13,IF(AND(In=20,cpd_type="C"),AR14,IF(AND(In=20,cpd_type="D"),AR15,IF(AND(In=25,cpd_type="D"),AR18,IF(AND(In=25,cpd_type="D"),AR21,0)))))</f>
        <v>0</v>
      </c>
      <c r="AS32" s="111">
        <f t="shared" si="17"/>
        <v>0</v>
      </c>
      <c r="AT32" s="111">
        <f t="shared" si="17"/>
        <v>0</v>
      </c>
      <c r="AU32" s="111">
        <f t="shared" si="17"/>
        <v>0</v>
      </c>
      <c r="AV32" s="111">
        <f t="shared" si="17"/>
        <v>0</v>
      </c>
      <c r="AW32" s="111">
        <f t="shared" si="17"/>
        <v>0</v>
      </c>
      <c r="AX32" s="111">
        <f t="shared" si="17"/>
        <v>0</v>
      </c>
      <c r="AY32" s="111">
        <f t="shared" si="17"/>
        <v>0</v>
      </c>
      <c r="BE32" s="102"/>
      <c r="BF32" s="111">
        <f>IF(AND(In=20,cpd_type="B"),BF13,IF(AND(In=20,cpd_type="C"),BF14,IF(AND(In=20,cpd_type="D"),BF15,0)))</f>
        <v>0</v>
      </c>
      <c r="BG32" s="111">
        <f t="shared" ref="BG32:BN32" si="18">IF(AND(In=20,cpd_type="B"),BG13,IF(AND(In=20,cpd_type="C"),BG14,IF(AND(In=20,cpd_type="D"),BG15,IF(AND(In=25,cpd_type="D"),BG18,IF(AND(In=25,cpd_type="D"),BG21,0)))))</f>
        <v>0</v>
      </c>
      <c r="BH32" s="111">
        <f t="shared" si="18"/>
        <v>0</v>
      </c>
      <c r="BI32" s="111">
        <f t="shared" si="18"/>
        <v>0</v>
      </c>
      <c r="BJ32" s="111">
        <f t="shared" si="18"/>
        <v>0</v>
      </c>
      <c r="BK32" s="111">
        <f t="shared" si="18"/>
        <v>0</v>
      </c>
      <c r="BL32" s="111">
        <f t="shared" si="18"/>
        <v>0</v>
      </c>
      <c r="BM32" s="111">
        <f t="shared" si="18"/>
        <v>0</v>
      </c>
      <c r="BN32" s="111">
        <f t="shared" si="18"/>
        <v>0</v>
      </c>
    </row>
    <row r="33" spans="2:66" ht="13.15" customHeight="1">
      <c r="G33" s="55" t="s">
        <v>206</v>
      </c>
      <c r="J33" s="55">
        <f>extender_tp</f>
        <v>70</v>
      </c>
      <c r="K33" s="56" t="s">
        <v>261</v>
      </c>
      <c r="L33" s="244"/>
      <c r="M33" s="228"/>
      <c r="N33" s="229"/>
      <c r="O33" s="230"/>
      <c r="P33" s="231">
        <f t="shared" si="4"/>
        <v>0</v>
      </c>
      <c r="Q33" s="90">
        <f>IF(L33="FW",(ROUND((((extender_Vd*P33*N33)/1000)),4)),IF(L33="FL",(ROUND((((SD_Vd*P33*N33)/1000)),4)),0))</f>
        <v>0</v>
      </c>
      <c r="R33" s="91">
        <f t="shared" si="5"/>
        <v>0</v>
      </c>
      <c r="S33" s="87">
        <f t="shared" si="3"/>
        <v>0</v>
      </c>
      <c r="T33" s="92">
        <f t="shared" si="6"/>
        <v>0</v>
      </c>
      <c r="U33" s="93">
        <f t="shared" si="11"/>
        <v>0</v>
      </c>
      <c r="V33" s="57"/>
      <c r="X33" s="94">
        <f t="shared" si="7"/>
        <v>0</v>
      </c>
      <c r="Y33" s="94">
        <f t="shared" si="8"/>
        <v>0</v>
      </c>
      <c r="Z33" s="94">
        <f t="shared" si="9"/>
        <v>0</v>
      </c>
      <c r="AH33" s="53" t="s">
        <v>115</v>
      </c>
      <c r="AI33" s="106">
        <f>IF(CPD="BS7671",BF35,IF(CPD="ABB",BG35,IF(CPD="Crabtree",BH35,IF(CPD="Dorman",BI35,IF(CPD="Hager",BJ35,IF(CPD="MEM",BK35,IF(CPD="Schneider",BJ35,IF(CPD="Sq D",BN35,"ERR"))))))))</f>
        <v>2.4</v>
      </c>
      <c r="AQ33" s="111">
        <f t="shared" ref="AQ33:AY33" si="19">IF(AND(In=25,cpd_type="B"),AQ16,IF(AND(In=25,cpd_type="C"),AQ17,IF(AND(In=25,cpd_type="D"),AQ18,0)))</f>
        <v>0</v>
      </c>
      <c r="AR33" s="111">
        <f t="shared" si="19"/>
        <v>0</v>
      </c>
      <c r="AS33" s="111">
        <f t="shared" si="19"/>
        <v>0</v>
      </c>
      <c r="AT33" s="111">
        <f t="shared" si="19"/>
        <v>0</v>
      </c>
      <c r="AU33" s="111">
        <f t="shared" si="19"/>
        <v>0</v>
      </c>
      <c r="AV33" s="111">
        <f t="shared" si="19"/>
        <v>0</v>
      </c>
      <c r="AW33" s="111">
        <f t="shared" si="19"/>
        <v>0</v>
      </c>
      <c r="AX33" s="111">
        <f t="shared" si="19"/>
        <v>0</v>
      </c>
      <c r="AY33" s="111">
        <f t="shared" si="19"/>
        <v>0</v>
      </c>
      <c r="BC33" s="34"/>
      <c r="BE33" s="102"/>
      <c r="BF33" s="111">
        <f t="shared" ref="BF33:BN33" si="20">IF(AND(In=25,cpd_type="B"),BF16,IF(AND(In=25,cpd_type="C"),BF17,IF(AND(In=25,cpd_type="D"),BF18,0)))</f>
        <v>0</v>
      </c>
      <c r="BG33" s="111">
        <f t="shared" si="20"/>
        <v>0</v>
      </c>
      <c r="BH33" s="111">
        <f t="shared" si="20"/>
        <v>0</v>
      </c>
      <c r="BI33" s="111">
        <f t="shared" si="20"/>
        <v>0</v>
      </c>
      <c r="BJ33" s="111">
        <f t="shared" si="20"/>
        <v>0</v>
      </c>
      <c r="BK33" s="111">
        <f t="shared" si="20"/>
        <v>0</v>
      </c>
      <c r="BL33" s="111">
        <f t="shared" si="20"/>
        <v>0</v>
      </c>
      <c r="BM33" s="111">
        <f t="shared" si="20"/>
        <v>0</v>
      </c>
      <c r="BN33" s="111">
        <f t="shared" si="20"/>
        <v>0</v>
      </c>
    </row>
    <row r="34" spans="2:66" ht="13.15" customHeight="1">
      <c r="G34" s="55" t="s">
        <v>101</v>
      </c>
      <c r="I34" s="57"/>
      <c r="J34" s="55">
        <f>extender_It1</f>
        <v>30</v>
      </c>
      <c r="K34" s="237" t="s">
        <v>56</v>
      </c>
      <c r="L34" s="244"/>
      <c r="M34" s="228"/>
      <c r="N34" s="229"/>
      <c r="O34" s="230"/>
      <c r="P34" s="231">
        <f t="shared" si="4"/>
        <v>0</v>
      </c>
      <c r="Q34" s="90">
        <f>IF(L34="FW",(ROUND((((extender_Vd*P34*N34)/1000)),4)),IF(L34="FL",(ROUND((((SD_Vd*P34*N34)/1000)),4)),0))</f>
        <v>0</v>
      </c>
      <c r="R34" s="91">
        <f t="shared" si="5"/>
        <v>0</v>
      </c>
      <c r="S34" s="87">
        <f t="shared" si="3"/>
        <v>0</v>
      </c>
      <c r="T34" s="92">
        <f t="shared" si="6"/>
        <v>0</v>
      </c>
      <c r="U34" s="93">
        <f t="shared" si="11"/>
        <v>0</v>
      </c>
      <c r="V34" s="57"/>
      <c r="X34" s="94">
        <f t="shared" si="7"/>
        <v>0</v>
      </c>
      <c r="Y34" s="94">
        <f t="shared" si="8"/>
        <v>0</v>
      </c>
      <c r="Z34" s="94">
        <f t="shared" si="9"/>
        <v>0</v>
      </c>
      <c r="AH34" s="118" t="s">
        <v>57</v>
      </c>
      <c r="AI34" s="119">
        <f>IF(Disconnection_Time=5,AI32,IF(Disconnection_Time=0.4,AI33,"Error"))</f>
        <v>2.4</v>
      </c>
      <c r="AQ34" s="111">
        <f t="shared" ref="AQ34:AY34" si="21">IF(AND(In=32,cpd_type="B"),AQ19,IF(AND(In=32,cpd_type="C"),AQ20,IF(AND(In=32,cpd_type="D"),AQ21,0)))</f>
        <v>0</v>
      </c>
      <c r="AR34" s="111">
        <f t="shared" si="21"/>
        <v>0</v>
      </c>
      <c r="AS34" s="111">
        <f t="shared" si="21"/>
        <v>0</v>
      </c>
      <c r="AT34" s="111">
        <f t="shared" si="21"/>
        <v>0</v>
      </c>
      <c r="AU34" s="111">
        <f t="shared" si="21"/>
        <v>0</v>
      </c>
      <c r="AV34" s="111">
        <f t="shared" si="21"/>
        <v>0</v>
      </c>
      <c r="AW34" s="111">
        <f t="shared" si="21"/>
        <v>0</v>
      </c>
      <c r="AX34" s="111">
        <f t="shared" si="21"/>
        <v>0</v>
      </c>
      <c r="AY34" s="111">
        <f t="shared" si="21"/>
        <v>0</v>
      </c>
      <c r="BC34" s="34"/>
      <c r="BE34" s="102"/>
      <c r="BF34" s="111">
        <f t="shared" ref="BF34:BN34" si="22">IF(AND(In=32,cpd_type="B"),BF19,IF(AND(In=32,cpd_type="C"),BF20,IF(AND(In=32,cpd_type="D"),BF21,0)))</f>
        <v>0</v>
      </c>
      <c r="BG34" s="111">
        <f t="shared" si="22"/>
        <v>0</v>
      </c>
      <c r="BH34" s="111">
        <f t="shared" si="22"/>
        <v>0</v>
      </c>
      <c r="BI34" s="111">
        <f t="shared" si="22"/>
        <v>0</v>
      </c>
      <c r="BJ34" s="111">
        <f t="shared" si="22"/>
        <v>0</v>
      </c>
      <c r="BK34" s="111">
        <f t="shared" si="22"/>
        <v>0</v>
      </c>
      <c r="BL34" s="111">
        <f t="shared" si="22"/>
        <v>0</v>
      </c>
      <c r="BM34" s="111">
        <f t="shared" si="22"/>
        <v>0</v>
      </c>
      <c r="BN34" s="111">
        <f t="shared" si="22"/>
        <v>0</v>
      </c>
    </row>
    <row r="35" spans="2:66" ht="13.15" customHeight="1">
      <c r="G35" s="55" t="s">
        <v>103</v>
      </c>
      <c r="I35" s="57"/>
      <c r="J35" s="55">
        <f>extender_Vd1</f>
        <v>18</v>
      </c>
      <c r="K35" s="237" t="s">
        <v>104</v>
      </c>
      <c r="L35" s="244"/>
      <c r="M35" s="228"/>
      <c r="N35" s="229"/>
      <c r="O35" s="230"/>
      <c r="P35" s="231">
        <f t="shared" si="4"/>
        <v>0</v>
      </c>
      <c r="Q35" s="90">
        <f>IF(L35="FW",(ROUND((((extender_Vd*P35*N35)/1000)),4)),IF(L35="FL",(ROUND((((SD_Vd*P35*N35)/1000)),4)),0))</f>
        <v>0</v>
      </c>
      <c r="R35" s="91">
        <f t="shared" si="5"/>
        <v>0</v>
      </c>
      <c r="S35" s="87">
        <f t="shared" si="3"/>
        <v>0</v>
      </c>
      <c r="T35" s="92">
        <f t="shared" si="6"/>
        <v>0</v>
      </c>
      <c r="U35" s="93">
        <f t="shared" si="11"/>
        <v>0</v>
      </c>
      <c r="V35" s="57"/>
      <c r="X35" s="94">
        <f t="shared" si="7"/>
        <v>0</v>
      </c>
      <c r="Y35" s="94">
        <f t="shared" si="8"/>
        <v>0</v>
      </c>
      <c r="Z35" s="94">
        <f t="shared" si="9"/>
        <v>0</v>
      </c>
      <c r="AD35" s="55"/>
      <c r="AE35" s="55"/>
      <c r="AP35" s="18" t="s">
        <v>121</v>
      </c>
      <c r="AQ35" s="111">
        <f t="shared" ref="AQ35:AY35" si="23">SUM(AQ29:AQ34)</f>
        <v>2.4</v>
      </c>
      <c r="AR35" s="111">
        <f t="shared" si="23"/>
        <v>2.2000000000000002</v>
      </c>
      <c r="AS35" s="111">
        <f t="shared" si="23"/>
        <v>0</v>
      </c>
      <c r="AT35" s="111">
        <f t="shared" si="23"/>
        <v>0</v>
      </c>
      <c r="AU35" s="111">
        <f t="shared" si="23"/>
        <v>5.33</v>
      </c>
      <c r="AV35" s="111">
        <f t="shared" si="23"/>
        <v>0</v>
      </c>
      <c r="AW35" s="111">
        <f t="shared" si="23"/>
        <v>2.95</v>
      </c>
      <c r="AX35" s="111">
        <f t="shared" si="23"/>
        <v>0</v>
      </c>
      <c r="AY35" s="111">
        <f t="shared" si="23"/>
        <v>0</v>
      </c>
      <c r="BC35" s="34"/>
      <c r="BE35" s="18" t="s">
        <v>121</v>
      </c>
      <c r="BF35" s="111">
        <f t="shared" ref="BF35:BN35" si="24">SUM(BF29:BF34)</f>
        <v>2.4</v>
      </c>
      <c r="BG35" s="111">
        <f t="shared" si="24"/>
        <v>2.2000000000000002</v>
      </c>
      <c r="BH35" s="111">
        <f t="shared" si="24"/>
        <v>0</v>
      </c>
      <c r="BI35" s="111">
        <f t="shared" si="24"/>
        <v>0</v>
      </c>
      <c r="BJ35" s="111">
        <f t="shared" si="24"/>
        <v>2.4</v>
      </c>
      <c r="BK35" s="111">
        <f t="shared" si="24"/>
        <v>0</v>
      </c>
      <c r="BL35" s="111">
        <f t="shared" si="24"/>
        <v>2.2999999999999998</v>
      </c>
      <c r="BM35" s="111">
        <f t="shared" si="24"/>
        <v>0</v>
      </c>
      <c r="BN35" s="111">
        <f t="shared" si="24"/>
        <v>0</v>
      </c>
    </row>
    <row r="36" spans="2:66" ht="13.15" customHeight="1">
      <c r="G36" s="55" t="s">
        <v>105</v>
      </c>
      <c r="J36" s="55">
        <f>extender_Z1</f>
        <v>7.98</v>
      </c>
      <c r="K36" s="238" t="s">
        <v>106</v>
      </c>
      <c r="L36" s="244"/>
      <c r="M36" s="228"/>
      <c r="N36" s="229"/>
      <c r="O36" s="230"/>
      <c r="P36" s="231">
        <f t="shared" si="4"/>
        <v>0</v>
      </c>
      <c r="Q36" s="90">
        <f>IF(L36="FW",(ROUND((((extender_Vd*P36*N36)/1000)),4)),IF(L36="FL",(ROUND((((SD_Vd*P36*N36)/1000)),4)),0))</f>
        <v>0</v>
      </c>
      <c r="R36" s="91">
        <f t="shared" si="5"/>
        <v>0</v>
      </c>
      <c r="S36" s="87">
        <f t="shared" si="3"/>
        <v>0</v>
      </c>
      <c r="T36" s="92">
        <f t="shared" si="6"/>
        <v>0</v>
      </c>
      <c r="U36" s="93">
        <f t="shared" si="11"/>
        <v>0</v>
      </c>
      <c r="V36" s="57"/>
      <c r="X36" s="94">
        <f t="shared" si="7"/>
        <v>0</v>
      </c>
      <c r="Y36" s="94">
        <f t="shared" si="8"/>
        <v>0</v>
      </c>
      <c r="Z36" s="94">
        <f t="shared" si="9"/>
        <v>0</v>
      </c>
      <c r="AD36" s="55"/>
      <c r="AE36" s="55"/>
      <c r="AH36" s="53" t="s">
        <v>123</v>
      </c>
      <c r="AI36" s="120" t="str">
        <f>IF(homerun_It1&gt;=(In/Homerun_Cg),AJ39,AJ40)</f>
        <v>ü</v>
      </c>
      <c r="AJ36" s="120"/>
      <c r="AK36" s="120"/>
      <c r="BE36" s="102"/>
      <c r="BF36" s="103"/>
      <c r="BG36" s="102"/>
      <c r="BH36" s="102"/>
      <c r="BI36" s="102"/>
      <c r="BJ36" s="102"/>
      <c r="BK36" s="102"/>
      <c r="BL36" s="104"/>
      <c r="BM36" s="102"/>
      <c r="BN36" s="102"/>
    </row>
    <row r="37" spans="2:66" ht="13.15" customHeight="1">
      <c r="G37" s="55" t="s">
        <v>108</v>
      </c>
      <c r="I37" s="7"/>
      <c r="J37" s="55">
        <f>ROUNDUP((Extender_ZinstPH+Extender_ZinstCPC),2)</f>
        <v>19.920000000000002</v>
      </c>
      <c r="K37" s="238" t="s">
        <v>106</v>
      </c>
      <c r="L37" s="244"/>
      <c r="M37" s="228"/>
      <c r="N37" s="229"/>
      <c r="O37" s="230"/>
      <c r="P37" s="231">
        <f t="shared" si="4"/>
        <v>0</v>
      </c>
      <c r="Q37" s="90">
        <f>IF(L37="FW",(ROUND((((extender_Vd*P37*N37)/1000)),4)),IF(L37="FL",(ROUND((((SD_Vd*P37*N37)/1000)),4)),0))</f>
        <v>0</v>
      </c>
      <c r="R37" s="91">
        <f t="shared" si="5"/>
        <v>0</v>
      </c>
      <c r="S37" s="87">
        <f t="shared" si="3"/>
        <v>0</v>
      </c>
      <c r="T37" s="92">
        <f t="shared" si="6"/>
        <v>0</v>
      </c>
      <c r="U37" s="93">
        <f t="shared" si="11"/>
        <v>0</v>
      </c>
      <c r="V37" s="57"/>
      <c r="X37" s="94">
        <f t="shared" si="7"/>
        <v>0</v>
      </c>
      <c r="Y37" s="94">
        <f t="shared" si="8"/>
        <v>0</v>
      </c>
      <c r="Z37" s="94">
        <f t="shared" si="9"/>
        <v>0</v>
      </c>
      <c r="AH37" s="53" t="s">
        <v>125</v>
      </c>
      <c r="AI37" s="120"/>
      <c r="AJ37" s="120" t="str">
        <f>IF(extender_It1&gt;=(In/extender_Cg),AJ39,AJ40)</f>
        <v>ü</v>
      </c>
      <c r="AK37" s="34"/>
      <c r="AP37" s="18" t="str">
        <f>D31</f>
        <v>Schneider</v>
      </c>
      <c r="AQ37" s="32"/>
      <c r="BE37" s="18" t="str">
        <f>D31</f>
        <v>Schneider</v>
      </c>
      <c r="BF37" s="32"/>
      <c r="BG37" s="102"/>
      <c r="BH37" s="102"/>
      <c r="BI37" s="102"/>
      <c r="BJ37" s="102"/>
      <c r="BK37" s="102"/>
      <c r="BL37" s="104"/>
      <c r="BM37" s="102"/>
      <c r="BN37" s="102"/>
    </row>
    <row r="38" spans="2:66" s="7" customFormat="1" ht="13.15" customHeight="1">
      <c r="G38" s="55" t="s">
        <v>138</v>
      </c>
      <c r="H38" s="55"/>
      <c r="I38" s="57"/>
      <c r="J38" s="110">
        <f>AQ59</f>
        <v>918.00000000000011</v>
      </c>
      <c r="K38" s="237" t="s">
        <v>56</v>
      </c>
      <c r="L38" s="244"/>
      <c r="M38" s="228"/>
      <c r="N38" s="229"/>
      <c r="O38" s="230"/>
      <c r="P38" s="231">
        <f t="shared" si="4"/>
        <v>0</v>
      </c>
      <c r="Q38" s="90">
        <f>IF(L38="FW",(ROUND((((extender_Vd*P38*N38)/1000)),4)),IF(L38="FL",(ROUND((((SD_Vd*P38*N38)/1000)),4)),0))</f>
        <v>0</v>
      </c>
      <c r="R38" s="91">
        <f t="shared" si="5"/>
        <v>0</v>
      </c>
      <c r="S38" s="87">
        <f t="shared" si="3"/>
        <v>0</v>
      </c>
      <c r="T38" s="92">
        <f t="shared" si="6"/>
        <v>0</v>
      </c>
      <c r="U38" s="93">
        <f t="shared" si="11"/>
        <v>0</v>
      </c>
      <c r="V38" s="57"/>
      <c r="W38" s="55"/>
      <c r="X38" s="94">
        <f t="shared" si="7"/>
        <v>0</v>
      </c>
      <c r="Y38" s="94">
        <f t="shared" si="8"/>
        <v>0</v>
      </c>
      <c r="Z38" s="94">
        <f t="shared" si="9"/>
        <v>0</v>
      </c>
      <c r="AF38" s="11"/>
      <c r="AG38" s="11"/>
      <c r="AH38" s="53" t="s">
        <v>126</v>
      </c>
      <c r="AI38" s="9"/>
      <c r="AJ38" s="9"/>
      <c r="AK38" s="120" t="str">
        <f>IF(SD_It1&gt;=(In/SD_Cg),AK39,AK40)</f>
        <v>ü</v>
      </c>
      <c r="AM38" s="102"/>
      <c r="AN38" s="102"/>
      <c r="AO38" s="102"/>
      <c r="AP38" s="102"/>
      <c r="AQ38" s="103"/>
      <c r="AR38" s="102"/>
      <c r="AS38" s="102"/>
      <c r="AT38" s="102"/>
      <c r="AU38" s="102"/>
      <c r="AV38" s="102"/>
      <c r="AW38" s="104"/>
      <c r="AX38" s="102"/>
      <c r="AY38" s="102"/>
      <c r="AZ38" s="105"/>
    </row>
    <row r="39" spans="2:66" ht="13.15" customHeight="1">
      <c r="B39" s="314" t="str">
        <f>IF(J7=0,"This calculation is un-checked",0)</f>
        <v>This calculation is un-checked</v>
      </c>
      <c r="C39" s="315"/>
      <c r="D39" s="315"/>
      <c r="G39" s="55" t="s">
        <v>140</v>
      </c>
      <c r="I39" s="57"/>
      <c r="J39" s="110">
        <f>AQ60</f>
        <v>273.77046904761693</v>
      </c>
      <c r="K39" s="237" t="s">
        <v>56</v>
      </c>
      <c r="L39" s="244"/>
      <c r="M39" s="228"/>
      <c r="N39" s="229"/>
      <c r="O39" s="230"/>
      <c r="P39" s="231">
        <f t="shared" si="4"/>
        <v>0</v>
      </c>
      <c r="Q39" s="90">
        <f>IF(L39="FW",(ROUND((((extender_Vd*P39*N39)/1000)),4)),IF(L39="FL",(ROUND((((SD_Vd*P39*N39)/1000)),4)),0))</f>
        <v>0</v>
      </c>
      <c r="R39" s="91">
        <f t="shared" si="5"/>
        <v>0</v>
      </c>
      <c r="S39" s="87">
        <f t="shared" si="3"/>
        <v>0</v>
      </c>
      <c r="T39" s="92">
        <f t="shared" si="6"/>
        <v>0</v>
      </c>
      <c r="U39" s="93">
        <f t="shared" si="11"/>
        <v>0</v>
      </c>
      <c r="V39" s="57"/>
      <c r="X39" s="94">
        <f t="shared" si="7"/>
        <v>0</v>
      </c>
      <c r="Y39" s="94">
        <f t="shared" si="8"/>
        <v>0</v>
      </c>
      <c r="Z39" s="94">
        <f t="shared" si="9"/>
        <v>0</v>
      </c>
      <c r="AH39" s="53" t="s">
        <v>128</v>
      </c>
      <c r="AI39" s="120" t="str">
        <f ca="1">IF((ROUNDUP((100/nominal_V*D60),2))&lt;=Max_VD,AJ39,AJ40)</f>
        <v>ü</v>
      </c>
      <c r="AJ39" s="120" t="s">
        <v>129</v>
      </c>
      <c r="AK39" s="120" t="s">
        <v>129</v>
      </c>
      <c r="BA39" s="55"/>
      <c r="BB39" s="55"/>
    </row>
    <row r="40" spans="2:66" ht="13.15" customHeight="1">
      <c r="B40" s="315"/>
      <c r="C40" s="315"/>
      <c r="D40" s="315"/>
      <c r="G40" s="55" t="s">
        <v>143</v>
      </c>
      <c r="I40" s="57"/>
      <c r="J40" s="110">
        <f>AS76</f>
        <v>2500</v>
      </c>
      <c r="K40" s="237"/>
      <c r="L40" s="244"/>
      <c r="M40" s="228"/>
      <c r="N40" s="229"/>
      <c r="O40" s="230"/>
      <c r="P40" s="231">
        <f t="shared" si="4"/>
        <v>0</v>
      </c>
      <c r="Q40" s="90">
        <f>IF(L40="FW",(ROUND((((extender_Vd*P40*N40)/1000)),4)),IF(L40="FL",(ROUND((((SD_Vd*P40*N40)/1000)),4)),0))</f>
        <v>0</v>
      </c>
      <c r="R40" s="91">
        <f t="shared" si="5"/>
        <v>0</v>
      </c>
      <c r="S40" s="87">
        <f t="shared" si="3"/>
        <v>0</v>
      </c>
      <c r="T40" s="92">
        <f t="shared" si="6"/>
        <v>0</v>
      </c>
      <c r="U40" s="93">
        <f t="shared" si="11"/>
        <v>0</v>
      </c>
      <c r="V40" s="57"/>
      <c r="X40" s="94">
        <f t="shared" si="7"/>
        <v>0</v>
      </c>
      <c r="Y40" s="94">
        <f t="shared" si="8"/>
        <v>0</v>
      </c>
      <c r="Z40" s="94">
        <f t="shared" si="9"/>
        <v>0</v>
      </c>
      <c r="AH40" s="53" t="s">
        <v>131</v>
      </c>
      <c r="AI40" s="120" t="str">
        <f>IF(D58&lt;=D32,AJ39,AJ40)</f>
        <v>ü</v>
      </c>
      <c r="AJ40" s="120" t="s">
        <v>132</v>
      </c>
      <c r="AK40" s="120" t="s">
        <v>132</v>
      </c>
      <c r="AM40" s="121"/>
      <c r="AN40" s="121"/>
      <c r="AO40" s="121"/>
      <c r="AP40" s="121"/>
      <c r="AQ40" s="32" t="s">
        <v>133</v>
      </c>
      <c r="AR40" s="121"/>
      <c r="AS40" s="32" t="s">
        <v>134</v>
      </c>
      <c r="AT40" s="121"/>
      <c r="AU40" s="121"/>
      <c r="AV40" s="121"/>
      <c r="AW40" s="122"/>
      <c r="BA40" s="55"/>
      <c r="BB40" s="55"/>
    </row>
    <row r="41" spans="2:66" ht="13.15" customHeight="1">
      <c r="B41" s="315"/>
      <c r="C41" s="315"/>
      <c r="D41" s="315"/>
      <c r="G41" s="55" t="s">
        <v>145</v>
      </c>
      <c r="H41" s="7"/>
      <c r="I41" s="57"/>
      <c r="J41" s="110">
        <f>AU76</f>
        <v>300</v>
      </c>
      <c r="K41" s="237"/>
      <c r="L41" s="244"/>
      <c r="M41" s="228"/>
      <c r="N41" s="229"/>
      <c r="O41" s="230"/>
      <c r="P41" s="231">
        <f t="shared" si="4"/>
        <v>0</v>
      </c>
      <c r="Q41" s="90">
        <f>IF(L41="FW",(ROUND((((extender_Vd*P41*N41)/1000)),4)),IF(L41="FL",(ROUND((((SD_Vd*P41*N41)/1000)),4)),0))</f>
        <v>0</v>
      </c>
      <c r="R41" s="91">
        <f t="shared" si="5"/>
        <v>0</v>
      </c>
      <c r="S41" s="87">
        <f t="shared" si="3"/>
        <v>0</v>
      </c>
      <c r="T41" s="92">
        <f t="shared" si="6"/>
        <v>0</v>
      </c>
      <c r="U41" s="93">
        <f t="shared" si="11"/>
        <v>0</v>
      </c>
      <c r="V41" s="57"/>
      <c r="X41" s="94">
        <f t="shared" si="7"/>
        <v>0</v>
      </c>
      <c r="Y41" s="94">
        <f t="shared" si="8"/>
        <v>0</v>
      </c>
      <c r="Z41" s="94">
        <f t="shared" si="9"/>
        <v>0</v>
      </c>
      <c r="AD41" s="60" t="s">
        <v>201</v>
      </c>
      <c r="AH41" s="53" t="s">
        <v>136</v>
      </c>
      <c r="AI41" s="120" t="str">
        <f>IF(J25&gt;J24,AJ39,AJ40)</f>
        <v>ü</v>
      </c>
      <c r="AM41" s="121"/>
      <c r="AN41" s="121"/>
      <c r="AO41" s="121"/>
      <c r="AP41" s="121"/>
      <c r="AQ41" s="32" t="s">
        <v>73</v>
      </c>
      <c r="AR41" s="32" t="s">
        <v>137</v>
      </c>
      <c r="AS41" s="32" t="s">
        <v>73</v>
      </c>
      <c r="AT41" s="32" t="s">
        <v>137</v>
      </c>
      <c r="AU41" s="32"/>
      <c r="AV41" s="121"/>
      <c r="AW41" s="122"/>
      <c r="BA41" s="55"/>
      <c r="BB41" s="55"/>
    </row>
    <row r="42" spans="2:66" ht="13.15" customHeight="1">
      <c r="B42" s="315"/>
      <c r="C42" s="315"/>
      <c r="D42" s="315"/>
      <c r="G42" s="55" t="s">
        <v>111</v>
      </c>
      <c r="I42" s="57"/>
      <c r="J42" s="110">
        <f>143^2*extender_csa^2</f>
        <v>127806.25</v>
      </c>
      <c r="K42" s="237"/>
      <c r="L42" s="244"/>
      <c r="M42" s="228"/>
      <c r="N42" s="229"/>
      <c r="O42" s="230"/>
      <c r="P42" s="231">
        <f t="shared" si="4"/>
        <v>0</v>
      </c>
      <c r="Q42" s="90">
        <f>IF(L42="FW",(ROUND((((extender_Vd*P42*N42)/1000)),4)),IF(L42="FL",(ROUND((((SD_Vd*P42*N42)/1000)),4)),0))</f>
        <v>0</v>
      </c>
      <c r="R42" s="91">
        <f t="shared" si="5"/>
        <v>0</v>
      </c>
      <c r="S42" s="87">
        <f t="shared" si="3"/>
        <v>0</v>
      </c>
      <c r="T42" s="92">
        <f t="shared" si="6"/>
        <v>0</v>
      </c>
      <c r="U42" s="93">
        <f t="shared" si="11"/>
        <v>0</v>
      </c>
      <c r="V42" s="57"/>
      <c r="X42" s="94">
        <f t="shared" si="7"/>
        <v>0</v>
      </c>
      <c r="Y42" s="94">
        <f t="shared" si="8"/>
        <v>0</v>
      </c>
      <c r="Z42" s="94">
        <f t="shared" si="9"/>
        <v>0</v>
      </c>
      <c r="AD42" s="60" t="s">
        <v>192</v>
      </c>
      <c r="AH42" s="53" t="s">
        <v>139</v>
      </c>
      <c r="AI42" s="120" t="str">
        <f>IF(J42&gt;J40,AJ39,AJ40)</f>
        <v>ü</v>
      </c>
      <c r="AM42" s="121"/>
      <c r="AN42" s="121"/>
      <c r="AO42" s="121"/>
      <c r="AP42" s="121"/>
      <c r="AQ42" s="32"/>
      <c r="AR42" s="32"/>
      <c r="AS42" s="32"/>
      <c r="AT42" s="32"/>
      <c r="AU42" s="32"/>
      <c r="AV42" s="121"/>
      <c r="AW42" s="122"/>
      <c r="BA42" s="55"/>
      <c r="BB42" s="55"/>
    </row>
    <row r="43" spans="2:66" ht="13.15" customHeight="1">
      <c r="B43" s="315"/>
      <c r="C43" s="315"/>
      <c r="D43" s="315"/>
      <c r="G43" s="54" t="s">
        <v>146</v>
      </c>
      <c r="I43" s="57"/>
      <c r="J43" s="113" t="str">
        <f>AI42</f>
        <v>ü</v>
      </c>
      <c r="K43" s="237"/>
      <c r="L43" s="244"/>
      <c r="M43" s="228"/>
      <c r="N43" s="229"/>
      <c r="O43" s="230"/>
      <c r="P43" s="231">
        <f t="shared" si="4"/>
        <v>0</v>
      </c>
      <c r="Q43" s="90">
        <f>IF(L43="FW",(ROUND((((extender_Vd*P43*N43)/1000)),4)),IF(L43="FL",(ROUND((((SD_Vd*P43*N43)/1000)),4)),0))</f>
        <v>0</v>
      </c>
      <c r="R43" s="91">
        <f t="shared" si="5"/>
        <v>0</v>
      </c>
      <c r="S43" s="87">
        <f t="shared" si="3"/>
        <v>0</v>
      </c>
      <c r="T43" s="92">
        <f t="shared" si="6"/>
        <v>0</v>
      </c>
      <c r="U43" s="93">
        <f t="shared" si="11"/>
        <v>0</v>
      </c>
      <c r="V43" s="57"/>
      <c r="X43" s="94">
        <f t="shared" si="7"/>
        <v>0</v>
      </c>
      <c r="Y43" s="94">
        <f t="shared" si="8"/>
        <v>0</v>
      </c>
      <c r="Z43" s="94">
        <f t="shared" si="9"/>
        <v>0</v>
      </c>
      <c r="AH43" s="53" t="s">
        <v>142</v>
      </c>
      <c r="AI43" s="120" t="str">
        <f>IF(J42&gt;J41,AJ39,AJ40)</f>
        <v>ü</v>
      </c>
      <c r="AL43" s="55"/>
      <c r="AM43" s="121"/>
      <c r="AN43" s="121"/>
      <c r="AO43" s="121"/>
      <c r="AP43" s="121">
        <v>1</v>
      </c>
      <c r="AQ43" s="123">
        <v>100</v>
      </c>
      <c r="AR43" s="123">
        <v>70</v>
      </c>
      <c r="AS43" s="123">
        <v>100</v>
      </c>
      <c r="AT43" s="123">
        <v>70</v>
      </c>
      <c r="AU43" s="124"/>
      <c r="AV43" s="121"/>
      <c r="AW43" s="122"/>
      <c r="BA43" s="55"/>
      <c r="BB43" s="55"/>
    </row>
    <row r="44" spans="2:66" ht="13.15" customHeight="1">
      <c r="B44" s="315"/>
      <c r="C44" s="315"/>
      <c r="D44" s="315"/>
      <c r="G44" s="54" t="s">
        <v>147</v>
      </c>
      <c r="I44" s="57"/>
      <c r="J44" s="113" t="str">
        <f>AI43</f>
        <v>ü</v>
      </c>
      <c r="K44" s="237"/>
      <c r="L44" s="244"/>
      <c r="M44" s="228"/>
      <c r="N44" s="229"/>
      <c r="O44" s="230"/>
      <c r="P44" s="231">
        <f t="shared" si="4"/>
        <v>0</v>
      </c>
      <c r="Q44" s="90">
        <f>IF(L44="FW",(ROUND((((extender_Vd*P44*N44)/1000)),4)),IF(L44="FL",(ROUND((((SD_Vd*P44*N44)/1000)),4)),0))</f>
        <v>0</v>
      </c>
      <c r="R44" s="91">
        <f t="shared" si="5"/>
        <v>0</v>
      </c>
      <c r="S44" s="87">
        <f t="shared" si="3"/>
        <v>0</v>
      </c>
      <c r="T44" s="92">
        <f t="shared" si="6"/>
        <v>0</v>
      </c>
      <c r="U44" s="93">
        <f t="shared" si="11"/>
        <v>0</v>
      </c>
      <c r="V44" s="57"/>
      <c r="X44" s="94">
        <f t="shared" si="7"/>
        <v>0</v>
      </c>
      <c r="Y44" s="94">
        <f t="shared" si="8"/>
        <v>0</v>
      </c>
      <c r="Z44" s="94">
        <f t="shared" si="9"/>
        <v>0</v>
      </c>
      <c r="AC44" s="41"/>
      <c r="AG44" s="41"/>
      <c r="AH44" s="53" t="s">
        <v>144</v>
      </c>
      <c r="AI44" s="120" t="str">
        <f>IF(J58&gt;J57,AJ39,AJ40)</f>
        <v>ü</v>
      </c>
      <c r="AL44" s="55"/>
      <c r="AM44" s="121"/>
      <c r="AN44" s="121"/>
      <c r="AO44" s="121"/>
      <c r="AP44" s="121">
        <v>2</v>
      </c>
      <c r="AQ44" s="123">
        <v>200</v>
      </c>
      <c r="AR44" s="123">
        <v>300</v>
      </c>
      <c r="AS44" s="123">
        <v>200</v>
      </c>
      <c r="AT44" s="123">
        <v>300</v>
      </c>
      <c r="AU44" s="124"/>
      <c r="AV44" s="121"/>
      <c r="AW44" s="122"/>
      <c r="BA44" s="55"/>
      <c r="BB44" s="55"/>
    </row>
    <row r="45" spans="2:66" ht="13.15" customHeight="1">
      <c r="F45" s="96"/>
      <c r="K45" s="240"/>
      <c r="L45" s="245"/>
      <c r="M45" s="228"/>
      <c r="N45" s="229"/>
      <c r="O45" s="230"/>
      <c r="P45" s="232">
        <f t="shared" si="4"/>
        <v>0</v>
      </c>
      <c r="Q45" s="114">
        <f>IF(L45="FW",(ROUND((((extender_Vd*P45*N45)/1000)),4)),IF(L45="FL",(ROUND((((SD_Vd*P45*N45)/1000)),4)),0))</f>
        <v>0</v>
      </c>
      <c r="R45" s="114">
        <f t="shared" si="5"/>
        <v>0</v>
      </c>
      <c r="S45" s="77">
        <f t="shared" si="3"/>
        <v>0</v>
      </c>
      <c r="T45" s="82">
        <f t="shared" si="6"/>
        <v>0</v>
      </c>
      <c r="U45" s="115">
        <f t="shared" si="11"/>
        <v>0</v>
      </c>
      <c r="V45" s="57"/>
      <c r="X45" s="116">
        <f t="shared" si="7"/>
        <v>0</v>
      </c>
      <c r="Y45" s="116">
        <f t="shared" si="8"/>
        <v>0</v>
      </c>
      <c r="Z45" s="116">
        <f t="shared" si="9"/>
        <v>0</v>
      </c>
      <c r="AC45" s="41"/>
      <c r="AG45" s="41"/>
      <c r="AH45" s="125"/>
      <c r="AI45" s="41"/>
      <c r="AJ45" s="55"/>
      <c r="AK45" s="55"/>
      <c r="AL45" s="55"/>
      <c r="AM45" s="121"/>
      <c r="AN45" s="121"/>
      <c r="AO45" s="121"/>
      <c r="AP45" s="121">
        <v>3</v>
      </c>
      <c r="AQ45" s="123">
        <v>300</v>
      </c>
      <c r="AR45" s="123">
        <v>500</v>
      </c>
      <c r="AS45" s="123">
        <v>300</v>
      </c>
      <c r="AT45" s="123">
        <v>500</v>
      </c>
      <c r="AU45" s="124"/>
      <c r="AV45" s="121"/>
      <c r="AW45" s="122"/>
      <c r="BA45" s="55"/>
      <c r="BB45" s="55"/>
    </row>
    <row r="46" spans="2:66" ht="13.15" customHeight="1">
      <c r="K46" s="240"/>
      <c r="L46" s="233"/>
      <c r="M46" s="234"/>
      <c r="N46" s="235"/>
      <c r="O46" s="236"/>
      <c r="P46" s="57"/>
      <c r="Q46" s="57"/>
      <c r="S46" s="56"/>
      <c r="V46" s="57"/>
      <c r="X46" s="106">
        <f>SUM(X18:X45)</f>
        <v>0.95</v>
      </c>
      <c r="Y46" s="106">
        <f>SUM(Y18:Y45)</f>
        <v>273.77046904761693</v>
      </c>
      <c r="Z46" s="106">
        <f>SUM(Z18:Z45)</f>
        <v>1.07</v>
      </c>
      <c r="AC46" s="41"/>
      <c r="AG46" s="41"/>
      <c r="AH46" s="53" t="s">
        <v>188</v>
      </c>
      <c r="AI46" s="257">
        <f ca="1">IF(ISNUMBER(SEARCH("L1",C12)),VD_L1,IF(ISNUMBER(SEARCH("L2",C12)),VD_L2,IF(ISNUMBER(SEARCH("L3",C12)),VD_L3,"")))</f>
        <v>2.1499999999999998E-2</v>
      </c>
      <c r="AJ46" s="55"/>
      <c r="AK46" s="55"/>
      <c r="AL46" s="55"/>
      <c r="AM46" s="121"/>
      <c r="AN46" s="121"/>
      <c r="AO46" s="121"/>
      <c r="AP46" s="121">
        <v>4</v>
      </c>
      <c r="AQ46" s="123">
        <v>400</v>
      </c>
      <c r="AR46" s="123">
        <v>980</v>
      </c>
      <c r="AS46" s="123">
        <v>400</v>
      </c>
      <c r="AT46" s="123">
        <v>980</v>
      </c>
      <c r="AU46" s="124"/>
      <c r="AV46" s="121"/>
      <c r="AW46" s="122"/>
      <c r="BA46" s="55"/>
      <c r="BB46" s="55"/>
    </row>
    <row r="47" spans="2:66" ht="13.15" customHeight="1">
      <c r="G47" s="96" t="s">
        <v>255</v>
      </c>
      <c r="I47" s="57"/>
      <c r="J47" s="96"/>
      <c r="K47" s="242"/>
      <c r="L47" s="30" t="s">
        <v>116</v>
      </c>
      <c r="M47" s="57"/>
      <c r="P47" s="57"/>
      <c r="Q47" s="56"/>
      <c r="R47" s="30" t="s">
        <v>117</v>
      </c>
      <c r="S47" s="131"/>
      <c r="T47" s="128"/>
      <c r="U47" s="117" t="s">
        <v>118</v>
      </c>
      <c r="V47" s="57"/>
      <c r="AH47" s="53" t="s">
        <v>188</v>
      </c>
      <c r="AI47" s="258">
        <f ca="1">Source_Nominal_V*(AI46)</f>
        <v>4.9449999999999994</v>
      </c>
      <c r="AJ47" s="55"/>
      <c r="AK47" s="55"/>
      <c r="AM47" s="121"/>
      <c r="AN47" s="121"/>
      <c r="AO47" s="121"/>
      <c r="AP47" s="121">
        <v>5</v>
      </c>
      <c r="AQ47" s="123">
        <v>500</v>
      </c>
      <c r="AR47" s="123">
        <v>1200</v>
      </c>
      <c r="AS47" s="123">
        <v>500</v>
      </c>
      <c r="AT47" s="123">
        <v>1200</v>
      </c>
      <c r="AU47" s="124"/>
      <c r="AV47" s="121"/>
      <c r="AW47" s="122"/>
    </row>
    <row r="48" spans="2:66" ht="13.15" customHeight="1">
      <c r="G48" s="69" t="s">
        <v>119</v>
      </c>
      <c r="I48" s="57"/>
      <c r="J48" s="153">
        <v>1</v>
      </c>
      <c r="K48" s="56"/>
      <c r="L48" s="55" t="s">
        <v>257</v>
      </c>
      <c r="M48" s="57"/>
      <c r="P48" s="57"/>
      <c r="Q48" s="56"/>
      <c r="R48" s="55" t="s">
        <v>120</v>
      </c>
      <c r="U48" s="133" t="str">
        <f>AI36</f>
        <v>ü</v>
      </c>
      <c r="V48" s="57"/>
      <c r="AH48" s="53" t="s">
        <v>241</v>
      </c>
      <c r="AI48" s="258">
        <f ca="1">IF(ISNUMBER(SEARCH("L1",C12)),VDV_L1,IF(ISNUMBER(SEARCH("L2",C12)),VDV_L2,IF(ISNUMBER(SEARCH("L3",C12)),VDV_L3,"")))</f>
        <v>229.50550000000001</v>
      </c>
      <c r="AJ48" s="55"/>
      <c r="AK48" s="55"/>
      <c r="AM48" s="121"/>
      <c r="AN48" s="121"/>
      <c r="AO48" s="121"/>
      <c r="AP48" s="121">
        <v>6</v>
      </c>
      <c r="AQ48" s="123">
        <v>600</v>
      </c>
      <c r="AR48" s="123">
        <v>1500</v>
      </c>
      <c r="AS48" s="123">
        <v>600</v>
      </c>
      <c r="AT48" s="123">
        <v>1500</v>
      </c>
      <c r="AU48" s="124"/>
      <c r="AV48" s="121"/>
      <c r="AW48" s="122"/>
    </row>
    <row r="49" spans="1:49" ht="13.15" customHeight="1">
      <c r="G49" s="55" t="s">
        <v>96</v>
      </c>
      <c r="I49" s="57"/>
      <c r="J49" s="154">
        <f>IF(Service="Lighting",1.5,IF(Service="Power",2.5,"Error"))</f>
        <v>1.5</v>
      </c>
      <c r="K49" s="56" t="s">
        <v>97</v>
      </c>
      <c r="L49" s="54" t="s">
        <v>258</v>
      </c>
      <c r="M49" s="57"/>
      <c r="P49" s="57"/>
      <c r="Q49" s="56"/>
      <c r="R49" s="55" t="s">
        <v>122</v>
      </c>
      <c r="U49" s="133" t="str">
        <f>AJ37</f>
        <v>ü</v>
      </c>
      <c r="V49" s="57"/>
      <c r="AE49" s="55"/>
      <c r="AF49" s="55"/>
      <c r="AG49" s="55"/>
      <c r="AH49" s="55"/>
      <c r="AM49" s="121"/>
      <c r="AN49" s="121"/>
      <c r="AO49" s="121"/>
      <c r="AP49" s="121">
        <v>7</v>
      </c>
      <c r="AQ49" s="123">
        <v>700</v>
      </c>
      <c r="AR49" s="123">
        <v>2000</v>
      </c>
      <c r="AS49" s="123">
        <v>700</v>
      </c>
      <c r="AT49" s="123">
        <v>2000</v>
      </c>
      <c r="AU49" s="124"/>
      <c r="AV49" s="121"/>
      <c r="AW49" s="122"/>
    </row>
    <row r="50" spans="1:49" ht="13.15" customHeight="1">
      <c r="G50" s="55" t="s">
        <v>99</v>
      </c>
      <c r="I50" s="57"/>
      <c r="J50" s="155" t="s">
        <v>148</v>
      </c>
      <c r="K50" s="56"/>
      <c r="L50" s="54"/>
      <c r="M50" s="22"/>
      <c r="N50" s="22"/>
      <c r="O50" s="22"/>
      <c r="P50" s="22"/>
      <c r="Q50" s="56"/>
      <c r="R50" s="55" t="s">
        <v>124</v>
      </c>
      <c r="U50" s="133" t="str">
        <f>AK38</f>
        <v>ü</v>
      </c>
      <c r="V50" s="57"/>
      <c r="AE50" s="55"/>
      <c r="AF50" s="55"/>
      <c r="AG50" s="55"/>
      <c r="AH50" s="55"/>
      <c r="AM50" s="121"/>
      <c r="AN50" s="121"/>
      <c r="AO50" s="121"/>
      <c r="AP50" s="121">
        <v>8</v>
      </c>
      <c r="AQ50" s="123">
        <v>800</v>
      </c>
      <c r="AR50" s="123">
        <v>2100</v>
      </c>
      <c r="AS50" s="123">
        <v>800</v>
      </c>
      <c r="AT50" s="123">
        <v>2100</v>
      </c>
      <c r="AU50" s="124"/>
      <c r="AV50" s="121"/>
      <c r="AW50" s="122"/>
    </row>
    <row r="51" spans="1:49" ht="13.15" customHeight="1">
      <c r="G51" s="55" t="s">
        <v>206</v>
      </c>
      <c r="J51" s="55">
        <f>SD_tp</f>
        <v>70</v>
      </c>
      <c r="K51" s="56" t="s">
        <v>261</v>
      </c>
      <c r="L51" s="134"/>
      <c r="M51" s="57"/>
      <c r="P51" s="57"/>
      <c r="Q51" s="56"/>
      <c r="R51" s="55" t="str">
        <f ca="1">"Voltage Drop less than "&amp;Max_VD&amp;"%:"</f>
        <v>Voltage Drop less than 1.85%:</v>
      </c>
      <c r="S51" s="57"/>
      <c r="U51" s="133" t="str">
        <f ca="1">AI39</f>
        <v>ü</v>
      </c>
      <c r="V51" s="57"/>
      <c r="AE51" s="55"/>
      <c r="AF51" s="55"/>
      <c r="AG51" s="55"/>
      <c r="AH51" s="55"/>
      <c r="AM51" s="121"/>
      <c r="AN51" s="121"/>
      <c r="AO51" s="121"/>
      <c r="AP51" s="121">
        <v>9</v>
      </c>
      <c r="AQ51" s="123">
        <v>900</v>
      </c>
      <c r="AR51" s="123">
        <v>2500</v>
      </c>
      <c r="AS51" s="123">
        <v>900</v>
      </c>
      <c r="AT51" s="123">
        <v>2500</v>
      </c>
      <c r="AU51" s="124"/>
      <c r="AV51" s="121"/>
      <c r="AW51" s="122"/>
    </row>
    <row r="52" spans="1:49" ht="13.15" customHeight="1">
      <c r="A52" s="59"/>
      <c r="C52" s="57"/>
      <c r="D52" s="57"/>
      <c r="G52" s="55" t="s">
        <v>101</v>
      </c>
      <c r="I52" s="57"/>
      <c r="J52" s="55">
        <f>SD_It1</f>
        <v>16</v>
      </c>
      <c r="K52" s="56" t="s">
        <v>56</v>
      </c>
      <c r="L52" s="134"/>
      <c r="M52" s="57"/>
      <c r="P52" s="57"/>
      <c r="Q52" s="56"/>
      <c r="R52" s="55" t="s">
        <v>127</v>
      </c>
      <c r="S52" s="57"/>
      <c r="U52" s="133" t="str">
        <f>AI40</f>
        <v>ü</v>
      </c>
      <c r="V52" s="57"/>
      <c r="AE52" s="55"/>
      <c r="AF52" s="55"/>
      <c r="AG52" s="55"/>
      <c r="AH52" s="55"/>
      <c r="AM52" s="121"/>
      <c r="AN52" s="121"/>
      <c r="AO52" s="121"/>
      <c r="AP52" s="121">
        <v>10</v>
      </c>
      <c r="AQ52" s="123">
        <v>1000</v>
      </c>
      <c r="AR52" s="123">
        <v>2800</v>
      </c>
      <c r="AS52" s="123">
        <v>1000</v>
      </c>
      <c r="AT52" s="123">
        <v>2800</v>
      </c>
      <c r="AU52" s="124"/>
      <c r="AV52" s="121"/>
      <c r="AW52" s="122"/>
    </row>
    <row r="53" spans="1:49" ht="13.15" customHeight="1">
      <c r="A53" s="59"/>
      <c r="G53" s="55" t="s">
        <v>103</v>
      </c>
      <c r="I53" s="57"/>
      <c r="J53" s="55">
        <f>SD_Vd1</f>
        <v>32</v>
      </c>
      <c r="K53" s="56" t="s">
        <v>104</v>
      </c>
      <c r="L53" s="54"/>
      <c r="U53" s="133"/>
      <c r="V53" s="57"/>
      <c r="AE53" s="55"/>
      <c r="AF53" s="55"/>
      <c r="AG53" s="55"/>
      <c r="AH53" s="55"/>
      <c r="AM53" s="121"/>
      <c r="AN53" s="121"/>
      <c r="AO53" s="121"/>
      <c r="AP53" s="121">
        <v>11</v>
      </c>
      <c r="AQ53" s="123">
        <v>2000</v>
      </c>
      <c r="AR53" s="123">
        <v>6000</v>
      </c>
      <c r="AS53" s="123">
        <v>2000</v>
      </c>
      <c r="AT53" s="123">
        <v>6000</v>
      </c>
      <c r="AU53" s="121"/>
      <c r="AV53" s="121"/>
      <c r="AW53" s="122"/>
    </row>
    <row r="54" spans="1:49" ht="13.15" customHeight="1">
      <c r="G54" s="55" t="s">
        <v>105</v>
      </c>
      <c r="I54" s="57"/>
      <c r="J54" s="55">
        <f>SD_Z1</f>
        <v>13.3</v>
      </c>
      <c r="K54" s="72" t="s">
        <v>106</v>
      </c>
      <c r="L54" s="30"/>
      <c r="M54" s="131"/>
      <c r="N54" s="128"/>
      <c r="O54" s="128"/>
      <c r="P54" s="131"/>
      <c r="Q54" s="132"/>
      <c r="R54" s="128"/>
      <c r="S54" s="132"/>
      <c r="T54" s="128"/>
      <c r="U54" s="133"/>
      <c r="V54" s="57"/>
      <c r="AE54" s="55"/>
      <c r="AF54" s="55"/>
      <c r="AG54" s="55"/>
      <c r="AH54" s="55"/>
      <c r="AM54" s="121"/>
      <c r="AN54" s="121"/>
      <c r="AO54" s="121"/>
      <c r="AP54" s="121">
        <v>12</v>
      </c>
      <c r="AQ54" s="123">
        <v>3000</v>
      </c>
      <c r="AR54" s="123">
        <v>8400</v>
      </c>
      <c r="AS54" s="123">
        <v>3000</v>
      </c>
      <c r="AT54" s="123">
        <v>8400</v>
      </c>
      <c r="AU54" s="121"/>
      <c r="AV54" s="121"/>
      <c r="AW54" s="122"/>
    </row>
    <row r="55" spans="1:49" ht="13.15" customHeight="1">
      <c r="B55" s="130" t="s">
        <v>42</v>
      </c>
      <c r="C55" s="57"/>
      <c r="D55" s="55"/>
      <c r="E55" s="56"/>
      <c r="G55" s="55" t="s">
        <v>108</v>
      </c>
      <c r="I55" s="57"/>
      <c r="J55" s="55">
        <f>ROUNDUP((SD_ZinstPH+SD_ZinstCPC),2)</f>
        <v>33.199999999999996</v>
      </c>
      <c r="K55" s="72" t="s">
        <v>106</v>
      </c>
      <c r="L55" s="30"/>
      <c r="M55" s="131"/>
      <c r="N55" s="128"/>
      <c r="O55" s="128"/>
      <c r="P55" s="131"/>
      <c r="Q55" s="132"/>
      <c r="R55" s="128"/>
      <c r="S55" s="132"/>
      <c r="T55" s="128"/>
      <c r="U55" s="128"/>
      <c r="V55" s="57"/>
      <c r="AE55" s="55"/>
      <c r="AF55" s="55"/>
      <c r="AG55" s="55"/>
      <c r="AH55" s="55"/>
      <c r="AM55" s="121"/>
      <c r="AN55" s="121"/>
      <c r="AO55" s="121"/>
      <c r="AP55" s="121">
        <v>13</v>
      </c>
      <c r="AQ55" s="123">
        <v>4000</v>
      </c>
      <c r="AR55" s="123">
        <v>10000</v>
      </c>
      <c r="AS55" s="123">
        <v>4000</v>
      </c>
      <c r="AT55" s="123">
        <v>10000</v>
      </c>
      <c r="AU55" s="121"/>
      <c r="AV55" s="121"/>
      <c r="AW55" s="122"/>
    </row>
    <row r="56" spans="1:49" ht="13.15" customHeight="1">
      <c r="B56" s="129" t="s">
        <v>47</v>
      </c>
      <c r="C56" s="57"/>
      <c r="D56" s="300">
        <f>P18</f>
        <v>6.13</v>
      </c>
      <c r="E56" s="286"/>
      <c r="G56" s="55" t="s">
        <v>64</v>
      </c>
      <c r="I56" s="57"/>
      <c r="J56" s="110">
        <f>AQ61</f>
        <v>273.77046904761693</v>
      </c>
      <c r="K56" s="56" t="s">
        <v>56</v>
      </c>
      <c r="L56" s="30" t="s">
        <v>130</v>
      </c>
      <c r="M56" s="131"/>
      <c r="N56" s="128"/>
      <c r="O56" s="128"/>
      <c r="P56" s="131"/>
      <c r="Q56" s="132"/>
      <c r="R56" s="128"/>
      <c r="S56" s="132"/>
      <c r="T56" s="128"/>
      <c r="U56" s="128"/>
      <c r="V56" s="57"/>
      <c r="AE56" s="55"/>
      <c r="AM56" s="121"/>
      <c r="AN56" s="121"/>
      <c r="AO56" s="121"/>
      <c r="AP56" s="121"/>
      <c r="AQ56" s="124"/>
      <c r="AR56" s="124"/>
      <c r="AS56" s="121"/>
      <c r="AT56" s="121"/>
      <c r="AU56" s="121"/>
      <c r="AV56" s="121"/>
      <c r="AW56" s="122"/>
    </row>
    <row r="57" spans="1:49" ht="13.15" customHeight="1" thickBot="1">
      <c r="B57" s="129" t="s">
        <v>53</v>
      </c>
      <c r="C57" s="57"/>
      <c r="D57" s="295">
        <f>SUM(N18:N37)</f>
        <v>48.600000000000009</v>
      </c>
      <c r="E57" s="286"/>
      <c r="F57" s="57"/>
      <c r="G57" s="55" t="s">
        <v>110</v>
      </c>
      <c r="I57" s="57"/>
      <c r="J57" s="110">
        <f>AU76</f>
        <v>300</v>
      </c>
      <c r="K57" s="56"/>
      <c r="L57" s="289" t="s">
        <v>135</v>
      </c>
      <c r="M57" s="296"/>
      <c r="N57" s="296"/>
      <c r="O57" s="296"/>
      <c r="P57" s="296"/>
      <c r="Q57" s="296"/>
      <c r="R57" s="296"/>
      <c r="S57" s="296"/>
      <c r="T57" s="296"/>
      <c r="U57" s="296"/>
      <c r="V57" s="57"/>
      <c r="AE57" s="55"/>
      <c r="AM57" s="121"/>
      <c r="AN57" s="121"/>
      <c r="AV57" s="121"/>
      <c r="AW57" s="122"/>
    </row>
    <row r="58" spans="1:49" ht="13.15" customHeight="1">
      <c r="B58" s="129" t="s">
        <v>57</v>
      </c>
      <c r="C58" s="57"/>
      <c r="D58" s="297">
        <f>X46</f>
        <v>0.95</v>
      </c>
      <c r="E58" s="298"/>
      <c r="G58" s="55" t="s">
        <v>111</v>
      </c>
      <c r="I58" s="57"/>
      <c r="J58" s="110">
        <f>143^2*SD_csa^2</f>
        <v>46010.25</v>
      </c>
      <c r="K58" s="56"/>
      <c r="L58" s="289" t="s">
        <v>182</v>
      </c>
      <c r="M58" s="290"/>
      <c r="N58" s="290"/>
      <c r="O58" s="290"/>
      <c r="P58" s="290"/>
      <c r="Q58" s="290"/>
      <c r="R58" s="290"/>
      <c r="S58" s="290"/>
      <c r="T58" s="290"/>
      <c r="U58" s="290"/>
      <c r="V58" s="57"/>
      <c r="AE58" s="55"/>
      <c r="AM58" s="135"/>
      <c r="AN58" s="136"/>
      <c r="AO58" s="136"/>
      <c r="AP58" s="137" t="s">
        <v>149</v>
      </c>
      <c r="AQ58" s="138">
        <f>U18</f>
        <v>918</v>
      </c>
      <c r="AR58" s="139"/>
      <c r="AS58" s="136"/>
      <c r="AT58" s="136"/>
      <c r="AU58" s="136"/>
      <c r="AV58" s="140"/>
      <c r="AW58" s="122"/>
    </row>
    <row r="59" spans="1:49" ht="13.15" customHeight="1">
      <c r="B59" s="129" t="s">
        <v>64</v>
      </c>
      <c r="C59" s="57"/>
      <c r="D59" s="299">
        <f>Y46</f>
        <v>273.77046904761693</v>
      </c>
      <c r="E59" s="286"/>
      <c r="G59" s="54" t="s">
        <v>113</v>
      </c>
      <c r="I59" s="57"/>
      <c r="J59" s="113" t="str">
        <f>Max_CPD2</f>
        <v>ü</v>
      </c>
      <c r="K59" s="56"/>
      <c r="L59" s="289" t="s">
        <v>141</v>
      </c>
      <c r="M59" s="290"/>
      <c r="N59" s="290"/>
      <c r="O59" s="290"/>
      <c r="P59" s="290"/>
      <c r="Q59" s="290"/>
      <c r="R59" s="290"/>
      <c r="S59" s="290"/>
      <c r="T59" s="290"/>
      <c r="U59" s="290"/>
      <c r="V59" s="57"/>
      <c r="AE59" s="55"/>
      <c r="AM59" s="141"/>
      <c r="AN59" s="142"/>
      <c r="AO59" s="142"/>
      <c r="AP59" s="143" t="s">
        <v>150</v>
      </c>
      <c r="AQ59" s="144">
        <f>U19</f>
        <v>918.00000000000011</v>
      </c>
      <c r="AR59" s="145"/>
      <c r="AS59" s="292" t="s">
        <v>159</v>
      </c>
      <c r="AT59" s="292"/>
      <c r="AU59" s="292"/>
      <c r="AV59" s="146"/>
      <c r="AW59" s="122"/>
    </row>
    <row r="60" spans="1:49" ht="13.15" customHeight="1">
      <c r="B60" s="129" t="s">
        <v>45</v>
      </c>
      <c r="C60" s="57"/>
      <c r="D60" s="293">
        <f>SUM(Q18:Q37)</f>
        <v>2.4422000000000006</v>
      </c>
      <c r="E60" s="286"/>
      <c r="L60" s="289" t="s">
        <v>183</v>
      </c>
      <c r="M60" s="290"/>
      <c r="N60" s="290"/>
      <c r="O60" s="290"/>
      <c r="P60" s="290"/>
      <c r="Q60" s="290"/>
      <c r="R60" s="290"/>
      <c r="S60" s="290"/>
      <c r="T60" s="290"/>
      <c r="U60" s="290"/>
      <c r="V60" s="57"/>
      <c r="AE60" s="55"/>
      <c r="AM60" s="141"/>
      <c r="AN60" s="142"/>
      <c r="AO60" s="142"/>
      <c r="AP60" s="143" t="s">
        <v>151</v>
      </c>
      <c r="AQ60" s="144">
        <f>Y46</f>
        <v>273.77046904761693</v>
      </c>
      <c r="AR60" s="145"/>
      <c r="AS60" s="142"/>
      <c r="AT60" s="142"/>
      <c r="AU60" s="142"/>
      <c r="AV60" s="146"/>
      <c r="AW60" s="122"/>
    </row>
    <row r="61" spans="1:49" ht="13.15" customHeight="1">
      <c r="B61" s="129" t="s">
        <v>58</v>
      </c>
      <c r="C61" s="57"/>
      <c r="D61" s="293">
        <f ca="1">V_Source-D60</f>
        <v>222.61279999999999</v>
      </c>
      <c r="E61" s="294"/>
      <c r="L61" s="289"/>
      <c r="M61" s="290"/>
      <c r="N61" s="290"/>
      <c r="O61" s="290"/>
      <c r="P61" s="290"/>
      <c r="Q61" s="290"/>
      <c r="R61" s="290"/>
      <c r="S61" s="290"/>
      <c r="T61" s="290"/>
      <c r="U61" s="290"/>
      <c r="V61" s="57"/>
      <c r="AE61" s="55"/>
      <c r="AM61" s="141"/>
      <c r="AN61" s="142"/>
      <c r="AO61" s="142"/>
      <c r="AP61" s="142" t="s">
        <v>152</v>
      </c>
      <c r="AQ61" s="144">
        <f>AQ60</f>
        <v>273.77046904761693</v>
      </c>
      <c r="AR61" s="145"/>
      <c r="AS61" s="142"/>
      <c r="AT61" s="142"/>
      <c r="AU61" s="142"/>
      <c r="AV61" s="146"/>
      <c r="AW61" s="122"/>
    </row>
    <row r="62" spans="1:49" ht="12.6" customHeight="1">
      <c r="AE62" s="55"/>
      <c r="AM62" s="141"/>
      <c r="AN62" s="142"/>
      <c r="AO62" s="142"/>
      <c r="AP62" s="142"/>
      <c r="AQ62" s="143" t="s">
        <v>153</v>
      </c>
      <c r="AR62" s="142"/>
      <c r="AS62" s="142" t="s">
        <v>154</v>
      </c>
      <c r="AT62" s="142"/>
      <c r="AU62" s="142" t="s">
        <v>155</v>
      </c>
      <c r="AV62" s="146"/>
      <c r="AW62" s="122"/>
    </row>
    <row r="63" spans="1:49" ht="12.6" customHeight="1">
      <c r="AE63" s="55"/>
      <c r="AK63" s="32"/>
      <c r="AM63" s="141"/>
      <c r="AN63" s="142"/>
      <c r="AO63" s="142"/>
      <c r="AP63" s="142">
        <v>13</v>
      </c>
      <c r="AQ63" s="143">
        <f>IF($AQ$58&gt;4000,AR55,0)</f>
        <v>0</v>
      </c>
      <c r="AR63" s="142"/>
      <c r="AS63" s="143">
        <f>IF($AQ$59&gt;4000,AT55,0)</f>
        <v>0</v>
      </c>
      <c r="AT63" s="142"/>
      <c r="AU63" s="143">
        <f>IF($AQ$60&gt;4000,AT55,0)</f>
        <v>0</v>
      </c>
      <c r="AV63" s="146"/>
      <c r="AW63" s="122"/>
    </row>
    <row r="64" spans="1:49" ht="12.6" customHeight="1">
      <c r="AE64" s="55"/>
      <c r="AK64" s="32"/>
      <c r="AM64" s="141"/>
      <c r="AN64" s="142"/>
      <c r="AO64" s="142"/>
      <c r="AP64" s="142">
        <v>12</v>
      </c>
      <c r="AQ64" s="143">
        <f>IF(AND($AQ$58&gt;=3000,$AQ$58&lt;4000),AR5:AR54,0)</f>
        <v>0</v>
      </c>
      <c r="AR64" s="142"/>
      <c r="AS64" s="143">
        <f>IF(AND($AQ$59&gt;=3000,$AQ$59&lt;4000),AT5:AT54,0)</f>
        <v>0</v>
      </c>
      <c r="AT64" s="142"/>
      <c r="AU64" s="143">
        <f>IF(AND($AQ$60&gt;=3000,$AQ$60&lt;4000),AT5:AT54,0)</f>
        <v>0</v>
      </c>
      <c r="AV64" s="146"/>
      <c r="AW64" s="122"/>
    </row>
    <row r="65" spans="31:49" ht="12.6" customHeight="1">
      <c r="AE65" s="55"/>
      <c r="AM65" s="141"/>
      <c r="AN65" s="142"/>
      <c r="AO65" s="142"/>
      <c r="AP65" s="142">
        <v>11</v>
      </c>
      <c r="AQ65" s="143">
        <f>IF(AND($AQ$58&gt;=2000,$AQ$58&lt;3000),AR53,0)</f>
        <v>0</v>
      </c>
      <c r="AR65" s="142"/>
      <c r="AS65" s="143">
        <f>IF(AND($AQ$59&gt;=2000,$AQ$59&lt;3000),AT53,0)</f>
        <v>0</v>
      </c>
      <c r="AT65" s="142"/>
      <c r="AU65" s="143">
        <f>IF(AND($AQ$60&gt;=2000,$AQ$60&lt;3000),AT53,0)</f>
        <v>0</v>
      </c>
      <c r="AV65" s="146"/>
      <c r="AW65" s="122"/>
    </row>
    <row r="66" spans="31:49" ht="12.6" customHeight="1">
      <c r="AE66" s="55"/>
      <c r="AM66" s="147"/>
      <c r="AN66" s="148"/>
      <c r="AO66" s="142"/>
      <c r="AP66" s="142">
        <v>10</v>
      </c>
      <c r="AQ66" s="143">
        <f>IF(AND($AQ$58&gt;=1000,$AQ$58&lt;2000),AR52,0)</f>
        <v>0</v>
      </c>
      <c r="AR66" s="142"/>
      <c r="AS66" s="143">
        <f>IF(AND($AQ$59&gt;=1000,$AQ$59&lt;2000),AT52,0)</f>
        <v>0</v>
      </c>
      <c r="AT66" s="142"/>
      <c r="AU66" s="143">
        <f>IF(AND($AQ$60&gt;=1000,$AQ$60&lt;2000),AT52,0)</f>
        <v>0</v>
      </c>
      <c r="AV66" s="146"/>
    </row>
    <row r="67" spans="31:49" ht="12.6" customHeight="1">
      <c r="AE67" s="55"/>
      <c r="AM67" s="147"/>
      <c r="AN67" s="148"/>
      <c r="AO67" s="148"/>
      <c r="AP67" s="142">
        <v>9</v>
      </c>
      <c r="AQ67" s="143">
        <f>IF(AND($AQ$58&gt;=900,$AQ$58&lt;1000),AR51,0)</f>
        <v>2500</v>
      </c>
      <c r="AR67" s="142"/>
      <c r="AS67" s="143">
        <f>IF(AND($AQ$59&gt;=900,$AQ$59&lt;1000),AT51,0)</f>
        <v>2500</v>
      </c>
      <c r="AT67" s="148"/>
      <c r="AU67" s="143">
        <f>IF(AND($AQ$60&gt;=900,$AQ$60&lt;1000),AT51,0)</f>
        <v>0</v>
      </c>
      <c r="AV67" s="146"/>
    </row>
    <row r="68" spans="31:49" ht="12.6" customHeight="1">
      <c r="AM68" s="147"/>
      <c r="AN68" s="148"/>
      <c r="AO68" s="148"/>
      <c r="AP68" s="142">
        <v>8</v>
      </c>
      <c r="AQ68" s="143">
        <f>IF(AND($AQ$58&gt;=800,$AQ$58&lt;900),AR50,0)</f>
        <v>0</v>
      </c>
      <c r="AR68" s="142"/>
      <c r="AS68" s="143">
        <f>IF(AND($AQ$59&gt;=800,$AQ$59&lt;900),AT50,0)</f>
        <v>0</v>
      </c>
      <c r="AT68" s="148"/>
      <c r="AU68" s="143">
        <f>IF(AND($AQ$60&gt;=800,$AQ$60&lt;900),AT50,0)</f>
        <v>0</v>
      </c>
      <c r="AV68" s="146"/>
    </row>
    <row r="69" spans="31:49" ht="12.6" customHeight="1">
      <c r="AM69" s="147"/>
      <c r="AN69" s="148"/>
      <c r="AO69" s="148"/>
      <c r="AP69" s="142">
        <v>7</v>
      </c>
      <c r="AQ69" s="143">
        <f>IF(AND($AQ$58&gt;=700,$AQ$58&lt;800),AR49,0)</f>
        <v>0</v>
      </c>
      <c r="AR69" s="142"/>
      <c r="AS69" s="143">
        <f>IF(AND($AQ$59&gt;=700,$AQ$59&lt;800),AT49,0)</f>
        <v>0</v>
      </c>
      <c r="AT69" s="148"/>
      <c r="AU69" s="143">
        <f>IF(AND($AQ$60&gt;=700,$AQ$60&lt;800),AT49,0)</f>
        <v>0</v>
      </c>
      <c r="AV69" s="146"/>
    </row>
    <row r="70" spans="31:49" ht="12.6" customHeight="1">
      <c r="AM70" s="147"/>
      <c r="AN70" s="148"/>
      <c r="AO70" s="148"/>
      <c r="AP70" s="142">
        <v>6</v>
      </c>
      <c r="AQ70" s="143">
        <f>IF(AND($AQ$58&gt;=600,$AQ$58&lt;700),AR48,0)</f>
        <v>0</v>
      </c>
      <c r="AR70" s="142"/>
      <c r="AS70" s="143">
        <f>IF(AND($AQ$59&gt;=600,$AQ$59&lt;700),AT48,0)</f>
        <v>0</v>
      </c>
      <c r="AT70" s="148"/>
      <c r="AU70" s="143">
        <f>IF(AND($AQ$60&gt;=600,$AQ$60&lt;700),AT48,0)</f>
        <v>0</v>
      </c>
      <c r="AV70" s="146"/>
    </row>
    <row r="71" spans="31:49" ht="12.6" customHeight="1">
      <c r="AM71" s="147"/>
      <c r="AN71" s="148"/>
      <c r="AO71" s="148"/>
      <c r="AP71" s="142">
        <v>5</v>
      </c>
      <c r="AQ71" s="143">
        <f>IF(AND($AQ$58&gt;=500,$AQ$58&lt;600),AR47,0)</f>
        <v>0</v>
      </c>
      <c r="AR71" s="142"/>
      <c r="AS71" s="143">
        <f>IF(AND($AQ$59&gt;=500,$AQ$59&lt;600),AT47,0)</f>
        <v>0</v>
      </c>
      <c r="AT71" s="148"/>
      <c r="AU71" s="143">
        <f>IF(AND($AQ$60&gt;=500,$AQ$60&lt;600),AT47,0)</f>
        <v>0</v>
      </c>
      <c r="AV71" s="146"/>
    </row>
    <row r="72" spans="31:49" ht="12.6" customHeight="1">
      <c r="AM72" s="147"/>
      <c r="AN72" s="148"/>
      <c r="AO72" s="148"/>
      <c r="AP72" s="142">
        <v>4</v>
      </c>
      <c r="AQ72" s="143">
        <f>IF(AND($AQ$58&gt;=400,$AQ$58&lt;500),AR46,0)</f>
        <v>0</v>
      </c>
      <c r="AR72" s="142"/>
      <c r="AS72" s="143">
        <f>IF(AND($AQ$59&gt;=400,$AQ$59&lt;500),AT46,0)</f>
        <v>0</v>
      </c>
      <c r="AT72" s="148"/>
      <c r="AU72" s="143">
        <f>IF(AND($AQ$60&gt;=400,$AQ$60&lt;500),AT46,0)</f>
        <v>0</v>
      </c>
      <c r="AV72" s="146"/>
    </row>
    <row r="73" spans="31:49" ht="12.6" customHeight="1">
      <c r="AM73" s="147"/>
      <c r="AN73" s="148"/>
      <c r="AO73" s="148"/>
      <c r="AP73" s="142">
        <v>3</v>
      </c>
      <c r="AQ73" s="143">
        <f>IF(AND($AQ$58&gt;=300,$AQ$58&lt;400),AR45,0)</f>
        <v>0</v>
      </c>
      <c r="AR73" s="142"/>
      <c r="AS73" s="143">
        <f>IF(AND($AQ$59&gt;=300,$AQ$59&lt;400),AT45,0)</f>
        <v>0</v>
      </c>
      <c r="AT73" s="148"/>
      <c r="AU73" s="143">
        <f>IF(AND($AQ$60&gt;=300,$AQ$60&lt;400),AT45,0)</f>
        <v>0</v>
      </c>
      <c r="AV73" s="146"/>
    </row>
    <row r="74" spans="31:49" ht="12.6" customHeight="1">
      <c r="AM74" s="147"/>
      <c r="AN74" s="148"/>
      <c r="AO74" s="148"/>
      <c r="AP74" s="142">
        <v>2</v>
      </c>
      <c r="AQ74" s="143">
        <f>IF(AND($AQ$58&gt;=200,$AQ$58&lt;300),AR44,0)</f>
        <v>0</v>
      </c>
      <c r="AR74" s="142"/>
      <c r="AS74" s="143">
        <f>IF(AND($AQ$59&gt;=200,$AQ$59&lt;300),AT44,0)</f>
        <v>0</v>
      </c>
      <c r="AT74" s="148"/>
      <c r="AU74" s="143">
        <f>IF(AND($AQ$60&gt;=200,$AQ$60&lt;300),AT44,0)</f>
        <v>300</v>
      </c>
      <c r="AV74" s="146"/>
    </row>
    <row r="75" spans="31:49" ht="12.6" customHeight="1">
      <c r="AF75" s="56"/>
      <c r="AG75" s="55"/>
      <c r="AM75" s="147"/>
      <c r="AN75" s="148"/>
      <c r="AO75" s="148"/>
      <c r="AP75" s="142">
        <v>1</v>
      </c>
      <c r="AQ75" s="143">
        <f>IF(AND($AQ$58&gt;=100,$AQ$58&lt;200),AR43,0)</f>
        <v>0</v>
      </c>
      <c r="AR75" s="142"/>
      <c r="AS75" s="143">
        <f>IF(AND($AQ$59&gt;=100,$AQ$59&lt;200),AT43,0)</f>
        <v>0</v>
      </c>
      <c r="AT75" s="148"/>
      <c r="AU75" s="143">
        <f>IF(AND($AQ$60&gt;=100,$AQ$60&lt;200),AT43,0)</f>
        <v>0</v>
      </c>
      <c r="AV75" s="146"/>
    </row>
    <row r="76" spans="31:49" ht="12.6" customHeight="1">
      <c r="AF76" s="55"/>
      <c r="AG76" s="55"/>
      <c r="AM76" s="147"/>
      <c r="AN76" s="148"/>
      <c r="AO76" s="148"/>
      <c r="AP76" s="142" t="s">
        <v>156</v>
      </c>
      <c r="AQ76" s="143">
        <f>SUM(AQ63:AQ75)</f>
        <v>2500</v>
      </c>
      <c r="AR76" s="142"/>
      <c r="AS76" s="143">
        <f>SUM(AS63:AS75)</f>
        <v>2500</v>
      </c>
      <c r="AT76" s="148"/>
      <c r="AU76" s="143">
        <f>SUM(AU63:AU75)</f>
        <v>300</v>
      </c>
      <c r="AV76" s="146"/>
    </row>
    <row r="77" spans="31:49" ht="12.6" customHeight="1" thickBot="1">
      <c r="AF77" s="55"/>
      <c r="AG77" s="55"/>
      <c r="AM77" s="149"/>
      <c r="AN77" s="150"/>
      <c r="AO77" s="150"/>
      <c r="AP77" s="150"/>
      <c r="AQ77" s="151"/>
      <c r="AR77" s="150"/>
      <c r="AS77" s="150"/>
      <c r="AT77" s="150"/>
      <c r="AU77" s="150"/>
      <c r="AV77" s="152"/>
    </row>
    <row r="78" spans="31:49" ht="12.6" customHeight="1">
      <c r="AF78" s="55"/>
      <c r="AG78" s="55"/>
    </row>
    <row r="79" spans="31:49" ht="12.6" customHeight="1">
      <c r="AF79" s="55"/>
      <c r="AG79" s="55"/>
    </row>
    <row r="80" spans="31:49" ht="12.6" customHeight="1">
      <c r="AF80" s="55"/>
      <c r="AG80" s="55"/>
    </row>
    <row r="81" spans="32:36" ht="12.6" customHeight="1">
      <c r="AF81" s="55"/>
      <c r="AG81" s="55"/>
      <c r="AH81" s="55"/>
      <c r="AI81" s="55"/>
      <c r="AJ81" s="55"/>
    </row>
    <row r="82" spans="32:36" ht="12.6" customHeight="1">
      <c r="AF82" s="55"/>
      <c r="AG82" s="55"/>
      <c r="AH82" s="55"/>
      <c r="AI82" s="55"/>
      <c r="AJ82" s="55"/>
    </row>
    <row r="83" spans="32:36" ht="12.6" customHeight="1">
      <c r="AF83" s="55"/>
      <c r="AG83" s="55"/>
      <c r="AH83" s="55"/>
      <c r="AI83" s="55"/>
      <c r="AJ83" s="55"/>
    </row>
    <row r="84" spans="32:36" ht="12.6" customHeight="1">
      <c r="AF84" s="55"/>
      <c r="AG84" s="55"/>
      <c r="AH84" s="55"/>
      <c r="AI84" s="55"/>
      <c r="AJ84" s="55"/>
    </row>
    <row r="85" spans="32:36" ht="12.6" customHeight="1">
      <c r="AF85" s="55"/>
      <c r="AG85" s="55"/>
      <c r="AH85" s="55"/>
      <c r="AI85" s="55"/>
      <c r="AJ85" s="55"/>
    </row>
    <row r="86" spans="32:36" ht="12.6" customHeight="1">
      <c r="AF86" s="55"/>
      <c r="AG86" s="55"/>
      <c r="AH86" s="55"/>
      <c r="AI86" s="55"/>
      <c r="AJ86" s="55"/>
    </row>
    <row r="87" spans="32:36" ht="12.6" customHeight="1">
      <c r="AF87" s="55"/>
      <c r="AG87" s="55"/>
      <c r="AH87" s="55"/>
      <c r="AI87" s="55"/>
      <c r="AJ87" s="55"/>
    </row>
    <row r="88" spans="32:36" ht="12.6" customHeight="1"/>
    <row r="89" spans="32:36" ht="12.6" customHeight="1">
      <c r="AF89" s="55"/>
      <c r="AG89" s="55"/>
      <c r="AH89" s="55"/>
    </row>
    <row r="90" spans="32:36" ht="12.6" customHeight="1">
      <c r="AF90" s="55"/>
      <c r="AG90" s="55"/>
      <c r="AH90" s="55"/>
    </row>
    <row r="91" spans="32:36" ht="12.6" customHeight="1">
      <c r="AF91" s="55"/>
      <c r="AG91" s="55"/>
      <c r="AH91" s="55"/>
    </row>
    <row r="92" spans="32:36" ht="12.6" customHeight="1">
      <c r="AF92" s="55"/>
      <c r="AG92" s="55"/>
      <c r="AH92" s="55"/>
    </row>
    <row r="93" spans="32:36" ht="12.6" customHeight="1">
      <c r="AF93" s="55"/>
      <c r="AG93" s="55"/>
      <c r="AH93" s="55"/>
    </row>
    <row r="94" spans="32:36" ht="12.6" customHeight="1">
      <c r="AF94" s="41"/>
      <c r="AG94" s="41"/>
    </row>
    <row r="95" spans="32:36" ht="12.6" customHeight="1">
      <c r="AF95" s="41"/>
      <c r="AG95" s="41"/>
    </row>
    <row r="96" spans="32:36" ht="12.6" customHeight="1">
      <c r="AF96" s="41"/>
      <c r="AG96" s="41"/>
    </row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spans="1:10" ht="12.6" customHeight="1">
      <c r="A113" s="289"/>
      <c r="B113" s="290"/>
      <c r="C113" s="290"/>
      <c r="D113" s="290"/>
      <c r="E113" s="290"/>
      <c r="F113" s="290"/>
      <c r="G113" s="290"/>
      <c r="H113" s="290"/>
      <c r="I113" s="290"/>
      <c r="J113" s="290"/>
    </row>
    <row r="114" spans="1:10" ht="12.6" customHeight="1">
      <c r="A114" s="289"/>
      <c r="B114" s="290"/>
      <c r="C114" s="290"/>
      <c r="D114" s="290"/>
      <c r="E114" s="290"/>
      <c r="F114" s="290"/>
      <c r="G114" s="290"/>
      <c r="H114" s="290"/>
      <c r="I114" s="290"/>
      <c r="J114" s="290"/>
    </row>
    <row r="115" spans="1:10" ht="12.6" customHeight="1">
      <c r="A115" s="289"/>
      <c r="B115" s="290"/>
      <c r="C115" s="290"/>
      <c r="D115" s="290"/>
      <c r="E115" s="290"/>
      <c r="F115" s="290"/>
      <c r="G115" s="290"/>
      <c r="H115" s="290"/>
      <c r="I115" s="290"/>
      <c r="J115" s="290"/>
    </row>
    <row r="116" spans="1:10" ht="12.6" customHeight="1">
      <c r="A116" s="289"/>
      <c r="B116" s="290"/>
      <c r="C116" s="290"/>
      <c r="D116" s="290"/>
      <c r="E116" s="290"/>
      <c r="F116" s="290"/>
      <c r="G116" s="290"/>
      <c r="H116" s="290"/>
      <c r="I116" s="290"/>
      <c r="J116" s="290"/>
    </row>
    <row r="117" spans="1:10" ht="12.6" customHeight="1"/>
    <row r="118" spans="1:10" ht="12.6" customHeight="1"/>
    <row r="119" spans="1:10" ht="12.6" customHeight="1"/>
    <row r="120" spans="1:10" ht="12.6" customHeight="1"/>
    <row r="121" spans="1:10" ht="12.6" customHeight="1"/>
    <row r="122" spans="1:10" ht="12.6" customHeight="1"/>
    <row r="123" spans="1:10" ht="12.6" customHeight="1"/>
    <row r="124" spans="1:10" ht="12.6" customHeight="1">
      <c r="E124" s="7"/>
    </row>
    <row r="125" spans="1:10" ht="12.6" customHeight="1"/>
    <row r="126" spans="1:10" ht="12.6" customHeight="1"/>
    <row r="127" spans="1:10" ht="12.6" customHeight="1"/>
    <row r="128" spans="1:10" ht="12.6" customHeight="1">
      <c r="D128" s="117"/>
    </row>
    <row r="129" spans="4:28" ht="12.6" customHeight="1">
      <c r="D129" s="117"/>
    </row>
    <row r="130" spans="4:28" ht="12.6" customHeight="1">
      <c r="D130" s="117"/>
    </row>
    <row r="131" spans="4:28" ht="12.6" customHeight="1">
      <c r="D131" s="117"/>
    </row>
    <row r="132" spans="4:28" ht="12.6" customHeight="1">
      <c r="D132" s="117"/>
      <c r="E132" s="7"/>
    </row>
    <row r="133" spans="4:28" ht="12.6" customHeight="1">
      <c r="D133" s="117"/>
      <c r="E133" s="7"/>
    </row>
    <row r="134" spans="4:28" ht="12.6" customHeight="1">
      <c r="D134" s="117"/>
      <c r="E134" s="7"/>
    </row>
    <row r="135" spans="4:28" ht="12.6" customHeight="1">
      <c r="D135" s="117"/>
      <c r="E135" s="7"/>
    </row>
    <row r="136" spans="4:28" ht="12.6" customHeight="1">
      <c r="D136" s="117"/>
      <c r="E136" s="7"/>
    </row>
    <row r="137" spans="4:28" ht="12.6" customHeight="1">
      <c r="D137" s="117"/>
      <c r="E137" s="7"/>
    </row>
    <row r="138" spans="4:28" ht="12.6" customHeight="1">
      <c r="D138" s="117"/>
      <c r="E138" s="7"/>
      <c r="F138" s="289"/>
      <c r="G138" s="291"/>
      <c r="H138" s="291"/>
      <c r="I138" s="291"/>
      <c r="J138" s="291"/>
      <c r="K138" s="291"/>
      <c r="L138" s="291"/>
      <c r="M138" s="291"/>
      <c r="N138" s="291"/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291"/>
      <c r="AA138" s="291"/>
      <c r="AB138" s="291"/>
    </row>
    <row r="139" spans="4:28" ht="12.6" customHeight="1">
      <c r="E139" s="7"/>
      <c r="F139" s="289"/>
      <c r="G139" s="291"/>
      <c r="H139" s="291"/>
      <c r="I139" s="291"/>
      <c r="J139" s="291"/>
      <c r="K139" s="291"/>
      <c r="L139" s="291"/>
      <c r="M139" s="291"/>
      <c r="N139" s="291"/>
      <c r="O139" s="291"/>
      <c r="P139" s="291"/>
      <c r="Q139" s="291"/>
      <c r="R139" s="291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</row>
    <row r="140" spans="4:28" ht="12.6" customHeight="1">
      <c r="G140" s="126"/>
      <c r="H140" s="126"/>
      <c r="I140" s="126"/>
      <c r="J140" s="126"/>
      <c r="K140" s="126"/>
      <c r="AB140" s="126"/>
    </row>
    <row r="141" spans="4:28" ht="12.6" customHeight="1"/>
    <row r="142" spans="4:28" ht="12.6" customHeight="1"/>
    <row r="143" spans="4:28" ht="12.6" customHeight="1">
      <c r="J143" s="55"/>
      <c r="K143" s="55"/>
    </row>
    <row r="144" spans="4:28" ht="12.6" customHeight="1"/>
    <row r="145" spans="10:11" ht="12.6" customHeight="1"/>
    <row r="146" spans="10:11" ht="12.6" customHeight="1">
      <c r="J146" s="55"/>
      <c r="K146" s="55"/>
    </row>
    <row r="147" spans="10:11" ht="12.6" customHeight="1">
      <c r="J147" s="55"/>
      <c r="K147" s="55"/>
    </row>
    <row r="148" spans="10:11" ht="12.6" customHeight="1">
      <c r="J148" s="55"/>
      <c r="K148" s="55"/>
    </row>
    <row r="149" spans="10:11" ht="12.6" customHeight="1">
      <c r="J149" s="55"/>
      <c r="K149" s="55"/>
    </row>
    <row r="150" spans="10:11" ht="12.6" customHeight="1">
      <c r="J150" s="55"/>
      <c r="K150" s="55"/>
    </row>
    <row r="151" spans="10:11" ht="12.6" customHeight="1">
      <c r="J151" s="55"/>
      <c r="K151" s="55"/>
    </row>
    <row r="152" spans="10:11" ht="12.6" customHeight="1">
      <c r="J152" s="55"/>
      <c r="K152" s="55"/>
    </row>
    <row r="153" spans="10:11" ht="12.6" customHeight="1">
      <c r="J153" s="55"/>
      <c r="K153" s="55"/>
    </row>
    <row r="154" spans="10:11" ht="12.6" customHeight="1">
      <c r="J154" s="55"/>
      <c r="K154" s="55"/>
    </row>
    <row r="155" spans="10:11" ht="12.6" customHeight="1">
      <c r="J155" s="55"/>
      <c r="K155" s="55"/>
    </row>
    <row r="156" spans="10:11" ht="12.6" customHeight="1">
      <c r="J156" s="55"/>
      <c r="K156" s="55"/>
    </row>
    <row r="157" spans="10:11" ht="12.6" customHeight="1">
      <c r="J157" s="55"/>
      <c r="K157" s="55"/>
    </row>
    <row r="158" spans="10:11" ht="12.6" customHeight="1">
      <c r="J158" s="55"/>
      <c r="K158" s="55"/>
    </row>
    <row r="159" spans="10:11" ht="12.6" customHeight="1">
      <c r="J159" s="55"/>
      <c r="K159" s="55"/>
    </row>
    <row r="160" spans="10:11" ht="12.6" customHeight="1">
      <c r="J160" s="55"/>
      <c r="K160" s="55"/>
    </row>
    <row r="161" spans="10:28" ht="12.6" customHeight="1">
      <c r="J161" s="55"/>
      <c r="K161" s="55"/>
    </row>
    <row r="162" spans="10:28" ht="12.6" customHeight="1">
      <c r="J162" s="55"/>
      <c r="K162" s="55"/>
    </row>
    <row r="163" spans="10:28" ht="12.6" customHeight="1">
      <c r="J163" s="55"/>
      <c r="K163" s="55"/>
    </row>
    <row r="164" spans="10:28" ht="12.6" customHeight="1">
      <c r="J164" s="55"/>
      <c r="K164" s="55"/>
    </row>
    <row r="165" spans="10:28" ht="12.6" customHeight="1">
      <c r="J165" s="55"/>
      <c r="K165" s="55"/>
    </row>
    <row r="166" spans="10:28" ht="12.6" customHeight="1">
      <c r="J166" s="55"/>
      <c r="K166" s="55"/>
    </row>
    <row r="167" spans="10:28" ht="12.6" customHeight="1">
      <c r="J167" s="55"/>
      <c r="K167" s="55"/>
    </row>
    <row r="168" spans="10:28" ht="12.6" customHeight="1">
      <c r="J168" s="55"/>
      <c r="K168" s="55"/>
    </row>
    <row r="169" spans="10:28" ht="12.6" customHeight="1">
      <c r="J169" s="55"/>
      <c r="K169" s="55"/>
    </row>
    <row r="170" spans="10:28" ht="12.6" customHeight="1">
      <c r="J170" s="55"/>
      <c r="K170" s="55"/>
    </row>
    <row r="171" spans="10:28" ht="12.6" customHeight="1">
      <c r="J171" s="55"/>
      <c r="K171" s="55"/>
    </row>
    <row r="172" spans="10:28" ht="12.6" customHeight="1">
      <c r="J172" s="55"/>
      <c r="K172" s="55"/>
    </row>
    <row r="173" spans="10:28" ht="12.6" customHeight="1">
      <c r="J173" s="55"/>
      <c r="K173" s="55"/>
    </row>
    <row r="174" spans="10:28" ht="12.6" customHeight="1">
      <c r="J174" s="55"/>
      <c r="K174" s="55"/>
    </row>
    <row r="175" spans="10:28" ht="12.6" customHeight="1">
      <c r="K175" s="68"/>
      <c r="AB175" s="11"/>
    </row>
    <row r="176" spans="10:28" ht="12.6" customHeight="1">
      <c r="J176" s="127"/>
      <c r="K176" s="68"/>
      <c r="AB176" s="11"/>
    </row>
    <row r="177" spans="10:28" ht="12.6" customHeight="1">
      <c r="J177" s="281"/>
      <c r="K177" s="68"/>
      <c r="AB177" s="11"/>
    </row>
    <row r="178" spans="10:28" ht="12.6" customHeight="1"/>
    <row r="179" spans="10:28" ht="12.6" customHeight="1"/>
    <row r="180" spans="10:28" ht="12.6" customHeight="1"/>
    <row r="181" spans="10:28" ht="12.6" customHeight="1"/>
    <row r="182" spans="10:28" ht="12.6" customHeight="1"/>
    <row r="183" spans="10:28" ht="12.6" customHeight="1"/>
    <row r="184" spans="10:28" ht="12.6" customHeight="1"/>
    <row r="185" spans="10:28" ht="12.6" customHeight="1"/>
    <row r="186" spans="10:28" ht="12.6" customHeight="1"/>
    <row r="187" spans="10:28" ht="12.6" customHeight="1"/>
    <row r="188" spans="10:28" ht="12.6" customHeight="1"/>
    <row r="189" spans="10:28" ht="12.6" customHeight="1"/>
    <row r="190" spans="10:28" ht="12.6" customHeight="1"/>
    <row r="191" spans="10:28" ht="12.6" customHeight="1"/>
    <row r="192" spans="10:28" ht="12.6" customHeight="1"/>
    <row r="193" ht="12.6" customHeight="1"/>
    <row r="194" ht="12.6" customHeight="1"/>
    <row r="195" ht="12.6" customHeight="1"/>
    <row r="196" ht="12.6" customHeight="1"/>
    <row r="197" ht="12.6" customHeight="1"/>
    <row r="198" ht="12.6" customHeight="1"/>
    <row r="199" ht="12.6" customHeight="1"/>
    <row r="200" ht="12.6" customHeight="1"/>
    <row r="201" ht="12.6" customHeight="1"/>
    <row r="202" ht="12.6" customHeight="1"/>
    <row r="203" ht="12.6" customHeight="1"/>
    <row r="204" ht="12.6" customHeight="1"/>
    <row r="205" ht="12.6" customHeight="1"/>
    <row r="206" ht="12.6" customHeight="1"/>
    <row r="207" ht="12.6" customHeight="1"/>
    <row r="208" ht="12.6" customHeight="1"/>
    <row r="209" ht="12.6" customHeight="1"/>
    <row r="210" ht="12.6" customHeight="1"/>
    <row r="211" ht="12.6" customHeight="1"/>
    <row r="212" ht="12.6" customHeight="1"/>
    <row r="213" ht="12.6" customHeight="1"/>
    <row r="214" ht="12.6" customHeight="1"/>
    <row r="215" ht="12.6" customHeight="1"/>
    <row r="216" ht="12.6" customHeight="1"/>
    <row r="217" ht="12.6" customHeight="1"/>
    <row r="218" ht="12.6" customHeight="1"/>
    <row r="219" ht="12.6" customHeight="1"/>
    <row r="220" ht="12.6" customHeight="1"/>
    <row r="221" ht="12.6" customHeight="1"/>
    <row r="222" ht="12.6" customHeight="1"/>
    <row r="223" ht="12.6" customHeight="1"/>
    <row r="224" ht="12.6" customHeight="1"/>
    <row r="225" ht="12.6" customHeight="1"/>
    <row r="226" ht="12.6" customHeight="1"/>
    <row r="227" ht="12.6" customHeight="1"/>
    <row r="228" ht="12.6" customHeight="1"/>
    <row r="229" ht="12.6" customHeight="1"/>
    <row r="230" ht="12.6" customHeight="1"/>
    <row r="231" ht="12.6" customHeight="1"/>
    <row r="232" ht="12.6" customHeight="1"/>
    <row r="233" ht="12.6" customHeight="1"/>
    <row r="234" ht="12.6" customHeight="1"/>
    <row r="235" ht="12.6" customHeight="1"/>
    <row r="236" ht="12.6" customHeight="1"/>
    <row r="237" ht="12.6" customHeight="1"/>
    <row r="238" ht="12.6" customHeight="1"/>
    <row r="239" ht="12.6" customHeight="1"/>
    <row r="240" ht="12.6" customHeight="1"/>
    <row r="241" ht="12.6" customHeight="1"/>
    <row r="242" ht="12.6" customHeight="1"/>
    <row r="243" ht="12.6" customHeight="1"/>
    <row r="244" ht="12.6" customHeight="1"/>
    <row r="245" ht="12.6" customHeight="1"/>
    <row r="246" ht="12.6" customHeight="1"/>
    <row r="247" ht="12.6" customHeight="1"/>
    <row r="248" ht="12.6" customHeight="1"/>
    <row r="249" ht="12.6" customHeight="1"/>
    <row r="250" ht="12.6" customHeight="1"/>
    <row r="251" ht="12.6" customHeight="1"/>
    <row r="252" ht="12.6" customHeight="1"/>
    <row r="253" ht="12.6" customHeight="1"/>
    <row r="254" ht="12.6" customHeight="1"/>
    <row r="255" ht="12.6" customHeight="1"/>
    <row r="256" ht="12.6" customHeight="1"/>
    <row r="257" ht="12.6" customHeight="1"/>
    <row r="258" ht="12.6" customHeight="1"/>
    <row r="259" ht="12.6" customHeight="1"/>
    <row r="260" ht="12.6" customHeight="1"/>
    <row r="261" ht="12.6" customHeight="1"/>
    <row r="262" ht="12.6" customHeight="1"/>
    <row r="263" ht="12.6" customHeight="1"/>
    <row r="264" ht="12.6" customHeight="1"/>
    <row r="265" ht="12.6" customHeight="1"/>
    <row r="266" ht="12.6" customHeight="1"/>
    <row r="267" ht="12.6" customHeight="1"/>
    <row r="268" ht="12.6" customHeight="1"/>
    <row r="269" ht="12.6" customHeight="1"/>
    <row r="270" ht="12.6" customHeight="1"/>
    <row r="271" ht="12.6" customHeight="1"/>
    <row r="272" ht="12.6" customHeight="1"/>
    <row r="273" ht="12.6" customHeight="1"/>
    <row r="274" ht="12.6" customHeight="1"/>
    <row r="275" ht="12.6" customHeight="1"/>
    <row r="276" ht="12.6" customHeight="1"/>
    <row r="277" ht="12.6" customHeight="1"/>
    <row r="278" ht="12.6" customHeight="1"/>
    <row r="279" ht="12.6" customHeight="1"/>
    <row r="280" ht="12.6" customHeight="1"/>
    <row r="281" ht="12.6" customHeight="1"/>
    <row r="282" ht="12.6" customHeight="1"/>
    <row r="283" ht="12.6" customHeight="1"/>
    <row r="284" ht="12.6" customHeight="1"/>
    <row r="285" ht="12.6" customHeight="1"/>
    <row r="286" ht="12.6" customHeight="1"/>
    <row r="287" ht="12.6" customHeight="1"/>
    <row r="288" ht="12.6" customHeight="1"/>
    <row r="289" ht="12.6" customHeight="1"/>
    <row r="290" ht="12.6" customHeight="1"/>
    <row r="291" ht="12.6" customHeight="1"/>
    <row r="292" ht="12.6" customHeight="1"/>
    <row r="293" ht="12.6" customHeight="1"/>
    <row r="294" ht="12.6" customHeight="1"/>
    <row r="295" ht="12.6" customHeight="1"/>
    <row r="296" ht="12.6" customHeight="1"/>
    <row r="297" ht="12.6" customHeight="1"/>
    <row r="298" ht="12.6" customHeight="1"/>
    <row r="299" ht="12.6" customHeight="1"/>
    <row r="300" ht="12.6" customHeight="1"/>
    <row r="301" ht="12.6" customHeight="1"/>
    <row r="302" ht="12.6" customHeight="1"/>
    <row r="303" ht="12.6" customHeight="1"/>
    <row r="304" ht="12.6" customHeight="1"/>
    <row r="305" ht="12.6" customHeight="1"/>
    <row r="306" ht="12.6" customHeight="1"/>
    <row r="307" ht="12.6" customHeight="1"/>
    <row r="308" ht="12.6" customHeight="1"/>
    <row r="309" ht="12.6" customHeight="1"/>
    <row r="310" ht="12.6" customHeight="1"/>
    <row r="311" ht="12.6" customHeight="1"/>
    <row r="312" ht="12.6" customHeight="1"/>
    <row r="313" ht="12.6" customHeight="1"/>
    <row r="314" ht="12.6" customHeight="1"/>
    <row r="315" ht="12.6" customHeight="1"/>
    <row r="316" ht="12.6" customHeight="1"/>
    <row r="317" ht="12.6" customHeight="1"/>
    <row r="318" ht="12.6" customHeight="1"/>
    <row r="319" ht="12.6" customHeight="1"/>
    <row r="320" ht="12.6" customHeight="1"/>
    <row r="321" ht="12.6" customHeight="1"/>
    <row r="322" ht="12.6" customHeight="1"/>
    <row r="323" ht="12.6" customHeight="1"/>
    <row r="324" ht="12.6" customHeight="1"/>
    <row r="325" ht="12.6" customHeight="1"/>
    <row r="326" ht="12.6" customHeight="1"/>
    <row r="327" ht="12.6" customHeight="1"/>
    <row r="328" ht="12.6" customHeight="1"/>
    <row r="329" ht="12.6" customHeight="1"/>
    <row r="330" ht="12.6" customHeight="1"/>
    <row r="331" ht="12.6" customHeight="1"/>
    <row r="332" ht="12.6" customHeight="1"/>
    <row r="333" ht="12.6" customHeight="1"/>
    <row r="334" ht="12.6" customHeight="1"/>
    <row r="335" ht="12.6" customHeight="1"/>
    <row r="336" ht="12.6" customHeight="1"/>
    <row r="337" ht="12.6" customHeight="1"/>
    <row r="338" ht="12.6" customHeight="1"/>
    <row r="339" ht="12.6" customHeight="1"/>
    <row r="340" ht="12.6" customHeight="1"/>
    <row r="341" ht="12.6" customHeight="1"/>
    <row r="342" ht="12.6" customHeight="1"/>
    <row r="343" ht="12.6" customHeight="1"/>
    <row r="344" ht="12.6" customHeight="1"/>
    <row r="345" ht="12.6" customHeight="1"/>
    <row r="346" ht="12.6" customHeight="1"/>
    <row r="347" ht="12.6" customHeight="1"/>
    <row r="348" ht="12.6" customHeight="1"/>
    <row r="349" ht="12.6" customHeight="1"/>
    <row r="350" ht="12.6" customHeight="1"/>
    <row r="351" ht="12.6" customHeight="1"/>
    <row r="352" ht="12.6" customHeight="1"/>
    <row r="353" ht="12.6" customHeight="1"/>
    <row r="354" ht="12.6" customHeight="1"/>
    <row r="355" ht="12.6" customHeight="1"/>
    <row r="356" ht="12.6" customHeight="1"/>
    <row r="357" ht="12.6" customHeight="1"/>
    <row r="358" ht="12.6" customHeight="1"/>
    <row r="359" ht="12.6" customHeight="1"/>
    <row r="360" ht="12.6" customHeight="1"/>
    <row r="361" ht="12.6" customHeight="1"/>
    <row r="362" ht="12.6" customHeight="1"/>
    <row r="363" ht="12.6" customHeight="1"/>
    <row r="364" ht="12.6" customHeight="1"/>
    <row r="365" ht="12.6" customHeight="1"/>
    <row r="366" ht="12.6" customHeight="1"/>
    <row r="367" ht="12.6" customHeight="1"/>
    <row r="368" ht="12.6" customHeight="1"/>
    <row r="369" ht="12.6" customHeight="1"/>
    <row r="370" ht="12.6" customHeight="1"/>
    <row r="371" ht="12.6" customHeight="1"/>
    <row r="372" ht="12.6" customHeight="1"/>
    <row r="373" ht="12.6" customHeight="1"/>
    <row r="374" ht="12.6" customHeight="1"/>
    <row r="375" ht="12.6" customHeight="1"/>
    <row r="376" ht="12.6" customHeight="1"/>
    <row r="377" ht="12.6" customHeight="1"/>
    <row r="378" ht="12.6" customHeight="1"/>
    <row r="379" ht="12.6" customHeight="1"/>
    <row r="380" ht="12.6" customHeight="1"/>
    <row r="381" ht="12.6" customHeight="1"/>
    <row r="382" ht="12.6" customHeight="1"/>
    <row r="383" ht="12.6" customHeight="1"/>
    <row r="384" ht="12.6" customHeight="1"/>
    <row r="385" ht="12.6" customHeight="1"/>
    <row r="386" ht="12.6" customHeight="1"/>
    <row r="387" ht="12.6" customHeight="1"/>
    <row r="388" ht="12.6" customHeight="1"/>
    <row r="389" ht="12.6" customHeight="1"/>
    <row r="390" ht="12.6" customHeight="1"/>
    <row r="391" ht="12.6" customHeight="1"/>
    <row r="392" ht="12.6" customHeight="1"/>
    <row r="393" ht="12.6" customHeight="1"/>
    <row r="394" ht="12.6" customHeight="1"/>
    <row r="395" ht="12.6" customHeight="1"/>
    <row r="396" ht="12.6" customHeight="1"/>
    <row r="397" ht="12.6" customHeight="1"/>
    <row r="398" ht="12.6" customHeight="1"/>
    <row r="399" ht="12.6" customHeight="1"/>
    <row r="400" ht="12.6" customHeight="1"/>
    <row r="401" ht="12.6" customHeight="1"/>
    <row r="402" ht="12.6" customHeight="1"/>
    <row r="403" ht="12.6" customHeight="1"/>
    <row r="404" ht="12.6" customHeight="1"/>
    <row r="405" ht="12.6" customHeight="1"/>
    <row r="406" ht="12.6" customHeight="1"/>
    <row r="407" ht="12.6" customHeight="1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  <row r="1001" ht="14.25"/>
    <row r="1002" ht="14.25"/>
    <row r="1003" ht="14.25"/>
    <row r="1004" ht="14.25"/>
    <row r="1005" ht="14.25"/>
    <row r="1006" ht="14.25"/>
    <row r="1007" ht="14.25"/>
    <row r="1008" ht="14.25"/>
    <row r="1009" ht="14.25"/>
    <row r="1010" ht="14.25"/>
    <row r="1011" ht="14.25"/>
    <row r="1012" ht="14.25"/>
    <row r="1013" ht="14.25"/>
    <row r="1014" ht="14.25"/>
    <row r="1015" ht="14.25"/>
    <row r="1016" ht="14.25"/>
    <row r="1017" ht="14.25"/>
    <row r="1018" ht="14.25"/>
    <row r="1019" ht="14.25"/>
    <row r="1020" ht="14.25"/>
    <row r="1021" ht="14.25"/>
    <row r="1022" ht="14.25"/>
    <row r="1023" ht="14.25"/>
    <row r="1024" ht="14.25"/>
    <row r="1025" ht="14.25"/>
    <row r="1026" ht="14.25"/>
    <row r="1027" ht="14.25"/>
    <row r="1028" ht="14.25"/>
    <row r="1029" ht="14.25"/>
    <row r="1030" ht="14.25"/>
    <row r="1031" ht="14.25"/>
    <row r="1032" ht="14.25"/>
    <row r="1033" ht="14.25"/>
    <row r="1034" ht="14.25"/>
    <row r="1035" ht="14.25"/>
    <row r="1036" ht="14.25"/>
    <row r="1037" ht="14.25"/>
    <row r="1038" ht="14.25"/>
    <row r="1039" ht="14.25"/>
    <row r="1040" ht="14.25"/>
    <row r="1041" ht="14.25"/>
    <row r="1042" ht="14.25"/>
    <row r="1043" ht="14.25"/>
    <row r="1044" ht="14.25"/>
    <row r="1045" ht="14.25"/>
    <row r="1046" ht="14.25"/>
    <row r="1047" ht="14.25"/>
    <row r="1048" ht="14.25"/>
    <row r="1049" ht="14.25"/>
    <row r="1050" ht="14.25"/>
    <row r="1051" ht="14.25"/>
    <row r="1052" ht="14.25"/>
    <row r="1053" ht="14.25"/>
    <row r="1054" ht="14.25"/>
    <row r="1055" ht="14.25"/>
    <row r="1056" ht="14.25"/>
    <row r="1057" ht="14.25"/>
    <row r="1058" ht="14.25"/>
    <row r="1059" ht="14.25"/>
    <row r="1060" ht="14.25"/>
    <row r="1061" ht="14.25"/>
    <row r="1062" ht="14.25"/>
    <row r="1063" ht="14.25"/>
    <row r="1064" ht="14.25"/>
    <row r="1065" ht="14.25"/>
    <row r="1066" ht="14.25"/>
    <row r="1067" ht="14.25"/>
    <row r="1068" ht="14.25"/>
    <row r="1069" ht="14.25"/>
    <row r="1070" ht="14.25"/>
    <row r="1071" ht="14.25"/>
    <row r="1072" ht="14.25"/>
    <row r="1073" ht="14.25"/>
    <row r="1074" ht="14.25"/>
    <row r="1075" ht="14.25"/>
    <row r="1076" ht="14.25"/>
    <row r="1077" ht="14.25"/>
    <row r="1078" ht="14.25"/>
    <row r="1079" ht="14.25"/>
    <row r="1080" ht="14.25"/>
    <row r="1081" ht="14.25"/>
    <row r="1082" ht="14.25"/>
    <row r="1083" ht="14.25"/>
    <row r="1084" ht="14.25"/>
    <row r="1085" ht="14.25"/>
    <row r="1086" ht="14.25"/>
    <row r="1087" ht="14.25"/>
    <row r="1088" ht="14.25"/>
    <row r="1089" ht="14.25"/>
    <row r="1090" ht="14.25"/>
    <row r="1091" ht="14.25"/>
    <row r="1092" ht="14.25"/>
    <row r="1093" ht="14.25"/>
    <row r="1094" ht="14.25"/>
    <row r="1095" ht="14.25"/>
    <row r="1096" ht="14.25"/>
    <row r="1097" ht="14.25"/>
    <row r="1098" ht="14.25"/>
    <row r="1099" ht="14.25"/>
    <row r="1100" ht="14.25"/>
    <row r="1101" ht="14.25"/>
    <row r="1102" ht="14.25"/>
    <row r="1103" ht="14.25"/>
    <row r="1104" ht="14.25"/>
    <row r="1105" ht="14.25"/>
    <row r="1106" ht="14.25"/>
    <row r="1107" ht="14.25"/>
    <row r="1108" ht="14.25"/>
    <row r="1109" ht="14.25"/>
    <row r="1110" ht="14.25"/>
    <row r="1111" ht="14.25"/>
    <row r="1112" ht="14.25"/>
    <row r="1113" ht="14.25"/>
    <row r="1114" ht="14.25"/>
    <row r="1115" ht="14.25"/>
    <row r="1116" ht="14.25"/>
    <row r="1117" ht="14.25"/>
    <row r="1118" ht="14.25"/>
    <row r="1119" ht="14.25"/>
    <row r="1120" ht="14.25"/>
    <row r="1121" ht="14.25"/>
    <row r="1122" ht="14.25"/>
    <row r="1123" ht="14.25"/>
    <row r="1124" ht="14.25"/>
    <row r="1125" ht="14.25"/>
    <row r="1126" ht="14.25"/>
    <row r="1127" ht="14.25"/>
    <row r="1128" ht="14.25"/>
    <row r="1129" ht="14.25"/>
    <row r="1130" ht="14.25"/>
    <row r="1131" ht="14.25"/>
    <row r="1132" ht="14.25"/>
    <row r="1133" ht="14.25"/>
    <row r="1134" ht="14.25"/>
    <row r="1135" ht="14.25"/>
    <row r="1136" ht="14.25"/>
    <row r="1137" ht="14.25"/>
    <row r="1138" ht="14.25"/>
    <row r="1139" ht="14.25"/>
    <row r="1140" ht="14.25"/>
    <row r="1141" ht="14.25"/>
    <row r="1142" ht="14.25"/>
    <row r="1143" ht="14.25"/>
    <row r="1144" ht="14.25"/>
    <row r="1145" ht="14.25"/>
    <row r="1146" ht="14.25"/>
    <row r="1147" ht="14.25"/>
    <row r="1148" ht="14.25"/>
    <row r="1149" ht="14.25"/>
    <row r="1150" ht="14.25"/>
    <row r="1151" ht="14.25"/>
    <row r="1152" ht="14.25"/>
    <row r="1153" ht="14.25"/>
    <row r="1154" ht="14.25"/>
    <row r="1155" ht="14.25"/>
    <row r="1156" ht="14.25"/>
    <row r="1157" ht="14.25"/>
    <row r="1158" ht="14.25"/>
    <row r="1159" ht="14.25"/>
    <row r="1160" ht="14.25"/>
    <row r="1161" ht="14.25"/>
    <row r="1162" ht="14.25"/>
    <row r="1163" ht="14.25"/>
    <row r="1164" ht="14.25"/>
    <row r="1165" ht="14.25"/>
    <row r="1166" ht="14.25"/>
    <row r="1167" ht="14.25"/>
    <row r="1168" ht="14.25"/>
    <row r="1169" ht="14.25"/>
    <row r="1170" ht="14.25"/>
    <row r="1171" ht="14.25"/>
  </sheetData>
  <mergeCells count="45">
    <mergeCell ref="A114:J114"/>
    <mergeCell ref="A115:J115"/>
    <mergeCell ref="A116:J116"/>
    <mergeCell ref="F138:AB138"/>
    <mergeCell ref="F139:AB139"/>
    <mergeCell ref="AS59:AU59"/>
    <mergeCell ref="D60:E60"/>
    <mergeCell ref="L60:U60"/>
    <mergeCell ref="D61:E61"/>
    <mergeCell ref="L61:U61"/>
    <mergeCell ref="A113:J113"/>
    <mergeCell ref="D57:E57"/>
    <mergeCell ref="L57:U57"/>
    <mergeCell ref="D58:E58"/>
    <mergeCell ref="L58:U58"/>
    <mergeCell ref="D59:E59"/>
    <mergeCell ref="L59:U59"/>
    <mergeCell ref="N11:P11"/>
    <mergeCell ref="C12:E12"/>
    <mergeCell ref="N12:P12"/>
    <mergeCell ref="O16:P16"/>
    <mergeCell ref="B39:D44"/>
    <mergeCell ref="D56:E56"/>
    <mergeCell ref="C8:G8"/>
    <mergeCell ref="J8:K8"/>
    <mergeCell ref="N8:P8"/>
    <mergeCell ref="U8:V8"/>
    <mergeCell ref="C10:E10"/>
    <mergeCell ref="N10:P10"/>
    <mergeCell ref="C6:G6"/>
    <mergeCell ref="J6:K6"/>
    <mergeCell ref="N6:Q6"/>
    <mergeCell ref="U6:V6"/>
    <mergeCell ref="C7:G7"/>
    <mergeCell ref="J7:K7"/>
    <mergeCell ref="N7:Q7"/>
    <mergeCell ref="U7:V7"/>
    <mergeCell ref="C4:G4"/>
    <mergeCell ref="J4:K4"/>
    <mergeCell ref="N4:Q4"/>
    <mergeCell ref="U4:V4"/>
    <mergeCell ref="C5:G5"/>
    <mergeCell ref="J5:K5"/>
    <mergeCell ref="N5:Q5"/>
    <mergeCell ref="U5:V5"/>
  </mergeCells>
  <conditionalFormatting sqref="B39:D44">
    <cfRule type="cellIs" dxfId="1" priority="1" stopIfTrue="1" operator="notEqual">
      <formula>0</formula>
    </cfRule>
  </conditionalFormatting>
  <pageMargins left="0.70866141732283472" right="0.19685039370078741" top="0.27559055118110237" bottom="0.39370078740157483" header="0.23622047244094491" footer="0.11811023622047245"/>
  <pageSetup paperSize="9" orientation="portrait" r:id="rId1"/>
  <headerFooter alignWithMargins="0">
    <oddHeader xml:space="preserve">&amp;C&amp;"Arial Narrow,Bold"&amp;14 </oddHeader>
    <oddFooter>&amp;L&amp;"Verdana,Regular"&amp;8Page &amp;P/&amp;N&amp;R&amp;"Verdana,Regular"&amp;8File: &amp;F</oddFooter>
  </headerFooter>
  <rowBreaks count="1" manualBreakCount="1">
    <brk id="62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O1171"/>
  <sheetViews>
    <sheetView showZeros="0" topLeftCell="G1" zoomScale="95" zoomScaleNormal="95" workbookViewId="0">
      <selection activeCell="U19" sqref="U19"/>
    </sheetView>
  </sheetViews>
  <sheetFormatPr defaultColWidth="8.85546875" defaultRowHeight="24.6" customHeight="1"/>
  <cols>
    <col min="1" max="1" width="8.7109375" style="55" customWidth="1"/>
    <col min="2" max="2" width="8.7109375" style="57" customWidth="1"/>
    <col min="3" max="3" width="8.7109375" style="55" customWidth="1"/>
    <col min="4" max="4" width="8.7109375" style="56" customWidth="1"/>
    <col min="5" max="5" width="8.7109375" style="55" customWidth="1"/>
    <col min="6" max="6" width="8.7109375" style="56" customWidth="1"/>
    <col min="7" max="7" width="8.7109375" style="57" customWidth="1"/>
    <col min="8" max="9" width="8.7109375" style="55" customWidth="1"/>
    <col min="10" max="10" width="8.7109375" style="57" customWidth="1"/>
    <col min="11" max="11" width="8.28515625" style="57" customWidth="1"/>
    <col min="12" max="21" width="8.7109375" style="55" customWidth="1"/>
    <col min="22" max="22" width="8.28515625" style="55" customWidth="1"/>
    <col min="23" max="27" width="8.85546875" style="55" customWidth="1"/>
    <col min="28" max="28" width="8.7109375" style="55" customWidth="1"/>
    <col min="29" max="29" width="9.42578125" style="55" customWidth="1"/>
    <col min="30" max="31" width="10.7109375" style="60" customWidth="1"/>
    <col min="32" max="32" width="10.7109375" style="11" customWidth="1"/>
    <col min="33" max="33" width="9.140625" style="11" customWidth="1"/>
    <col min="34" max="34" width="30.7109375" style="34" customWidth="1"/>
    <col min="35" max="37" width="15.42578125" style="11" customWidth="1"/>
    <col min="38" max="38" width="9.5703125" style="11" customWidth="1"/>
    <col min="39" max="41" width="3.140625" style="102" customWidth="1"/>
    <col min="42" max="42" width="4.7109375" style="102" customWidth="1"/>
    <col min="43" max="43" width="10.5703125" style="103" customWidth="1"/>
    <col min="44" max="48" width="10.5703125" style="102" customWidth="1"/>
    <col min="49" max="49" width="10.5703125" style="104" customWidth="1"/>
    <col min="50" max="51" width="10.5703125" style="102" customWidth="1"/>
    <col min="52" max="52" width="4.7109375" style="105" customWidth="1"/>
    <col min="53" max="53" width="9.140625" style="11" customWidth="1"/>
    <col min="54" max="54" width="3.140625" style="11" customWidth="1"/>
    <col min="55" max="56" width="3.140625" style="55" customWidth="1"/>
    <col min="57" max="57" width="4.7109375" style="55" customWidth="1"/>
    <col min="58" max="66" width="10.5703125" style="55" customWidth="1"/>
    <col min="67" max="67" width="4.7109375" style="55" customWidth="1"/>
    <col min="68" max="69" width="8.85546875" style="55" customWidth="1"/>
    <col min="70" max="16384" width="8.85546875" style="55"/>
  </cols>
  <sheetData>
    <row r="1" spans="1:67" s="7" customFormat="1" ht="17.45" customHeight="1" thickBot="1">
      <c r="A1" s="266" t="s">
        <v>232</v>
      </c>
      <c r="B1" s="2"/>
      <c r="C1" s="3"/>
      <c r="D1" s="4"/>
      <c r="E1" s="18"/>
      <c r="F1" s="19"/>
      <c r="I1" s="4"/>
      <c r="J1" s="4"/>
      <c r="K1" s="6" t="s">
        <v>245</v>
      </c>
      <c r="L1" s="266" t="s">
        <v>232</v>
      </c>
      <c r="M1" s="2"/>
      <c r="N1" s="3"/>
      <c r="O1" s="4"/>
      <c r="P1" s="18"/>
      <c r="Q1" s="19"/>
      <c r="T1" s="4"/>
      <c r="U1" s="4"/>
      <c r="V1" s="6" t="s">
        <v>245</v>
      </c>
      <c r="AF1" s="8"/>
      <c r="AG1" s="8"/>
      <c r="AH1" s="9"/>
      <c r="AI1" s="10"/>
      <c r="AJ1" s="11"/>
      <c r="AK1" s="11"/>
      <c r="AL1" s="12"/>
      <c r="AM1" s="13"/>
      <c r="AN1" s="13"/>
      <c r="AO1" s="13"/>
      <c r="AP1" s="13"/>
      <c r="AQ1" s="14"/>
      <c r="AR1" s="13"/>
      <c r="AS1" s="13"/>
      <c r="AT1" s="13"/>
      <c r="AU1" s="15" t="s">
        <v>0</v>
      </c>
      <c r="AV1" s="15"/>
      <c r="AW1" s="16"/>
      <c r="AX1" s="13"/>
      <c r="AY1" s="13"/>
      <c r="AZ1" s="13"/>
      <c r="BA1" s="2"/>
      <c r="BB1" s="13"/>
      <c r="BC1" s="13"/>
      <c r="BD1" s="13"/>
      <c r="BE1" s="13"/>
      <c r="BF1" s="14"/>
      <c r="BG1" s="13"/>
      <c r="BH1" s="13"/>
      <c r="BI1" s="13"/>
      <c r="BJ1" s="15" t="s">
        <v>1</v>
      </c>
      <c r="BK1" s="15"/>
      <c r="BL1" s="16"/>
      <c r="BM1" s="13"/>
      <c r="BN1" s="13"/>
      <c r="BO1" s="13"/>
    </row>
    <row r="2" spans="1:67" s="22" customFormat="1" ht="13.15" customHeight="1">
      <c r="A2" s="1"/>
      <c r="B2" s="17"/>
      <c r="C2" s="18"/>
      <c r="D2" s="19"/>
      <c r="I2" s="17"/>
      <c r="J2" s="17"/>
      <c r="K2" s="20"/>
      <c r="L2" s="1"/>
      <c r="M2" s="17"/>
      <c r="N2" s="18"/>
      <c r="O2" s="19"/>
      <c r="T2" s="17"/>
      <c r="U2" s="17"/>
      <c r="V2" s="20"/>
      <c r="AB2" s="17"/>
      <c r="AF2" s="23"/>
      <c r="AG2" s="23"/>
      <c r="AH2" s="24"/>
      <c r="AI2" s="21"/>
      <c r="AJ2" s="11"/>
      <c r="AK2" s="11"/>
      <c r="AL2" s="21"/>
      <c r="AM2" s="25"/>
      <c r="AN2" s="26" t="s">
        <v>2</v>
      </c>
      <c r="AO2" s="25"/>
      <c r="AP2" s="27" t="s">
        <v>3</v>
      </c>
      <c r="AQ2" s="28" t="s">
        <v>4</v>
      </c>
      <c r="AR2" s="28" t="s">
        <v>5</v>
      </c>
      <c r="AS2" s="28" t="s">
        <v>6</v>
      </c>
      <c r="AT2" s="28" t="s">
        <v>7</v>
      </c>
      <c r="AU2" s="28" t="s">
        <v>8</v>
      </c>
      <c r="AV2" s="28" t="s">
        <v>9</v>
      </c>
      <c r="AW2" s="28" t="s">
        <v>10</v>
      </c>
      <c r="AX2" s="28" t="s">
        <v>11</v>
      </c>
      <c r="AY2" s="28" t="s">
        <v>12</v>
      </c>
      <c r="AZ2" s="29"/>
      <c r="BA2" s="17"/>
      <c r="BB2" s="25"/>
      <c r="BC2" s="26" t="s">
        <v>2</v>
      </c>
      <c r="BD2" s="25"/>
      <c r="BE2" s="27" t="s">
        <v>3</v>
      </c>
      <c r="BF2" s="28" t="s">
        <v>4</v>
      </c>
      <c r="BG2" s="28" t="s">
        <v>5</v>
      </c>
      <c r="BH2" s="28" t="s">
        <v>6</v>
      </c>
      <c r="BI2" s="28" t="s">
        <v>7</v>
      </c>
      <c r="BJ2" s="28" t="s">
        <v>8</v>
      </c>
      <c r="BK2" s="28" t="s">
        <v>9</v>
      </c>
      <c r="BL2" s="28" t="s">
        <v>10</v>
      </c>
      <c r="BM2" s="28" t="s">
        <v>11</v>
      </c>
      <c r="BN2" s="28" t="s">
        <v>12</v>
      </c>
      <c r="BO2" s="29"/>
    </row>
    <row r="3" spans="1:67" s="7" customFormat="1" ht="13.15" customHeight="1">
      <c r="A3" s="30" t="s">
        <v>13</v>
      </c>
      <c r="B3" s="18"/>
      <c r="C3" s="18"/>
      <c r="D3" s="31"/>
      <c r="E3" s="18"/>
      <c r="F3" s="31"/>
      <c r="I3" s="32"/>
      <c r="J3" s="2"/>
      <c r="K3" s="20"/>
      <c r="L3" s="30" t="str">
        <f t="shared" ref="L3:L8" si="0">A3</f>
        <v>CIRCUIT  CALCULATION  SHEET:</v>
      </c>
      <c r="M3" s="18"/>
      <c r="N3" s="18"/>
      <c r="O3" s="31"/>
      <c r="P3" s="18"/>
      <c r="Q3" s="31"/>
      <c r="T3" s="32"/>
      <c r="U3" s="2"/>
      <c r="V3" s="20"/>
      <c r="AD3" s="7" t="s">
        <v>15</v>
      </c>
      <c r="AF3" s="11"/>
      <c r="AG3" s="11"/>
      <c r="AH3" s="34"/>
      <c r="AI3" s="11"/>
      <c r="AJ3" s="11"/>
      <c r="AK3" s="11"/>
      <c r="AL3" s="11"/>
      <c r="AM3" s="35"/>
      <c r="AN3" s="36"/>
      <c r="AO3" s="35"/>
      <c r="AP3" s="37"/>
      <c r="AQ3" s="38" t="str">
        <f t="shared" ref="AQ3:AY3" si="1">AQ2</f>
        <v>BS 7671</v>
      </c>
      <c r="AR3" s="38" t="str">
        <f t="shared" si="1"/>
        <v>ABB</v>
      </c>
      <c r="AS3" s="38" t="str">
        <f t="shared" si="1"/>
        <v>Crabtree</v>
      </c>
      <c r="AT3" s="38" t="str">
        <f t="shared" si="1"/>
        <v>Dorman</v>
      </c>
      <c r="AU3" s="38" t="str">
        <f t="shared" si="1"/>
        <v>Hager</v>
      </c>
      <c r="AV3" s="38" t="str">
        <f t="shared" si="1"/>
        <v>MEM</v>
      </c>
      <c r="AW3" s="38" t="str">
        <f t="shared" si="1"/>
        <v>Schneider</v>
      </c>
      <c r="AX3" s="38" t="str">
        <f t="shared" si="1"/>
        <v>Siemens</v>
      </c>
      <c r="AY3" s="38" t="str">
        <f t="shared" si="1"/>
        <v>Square D</v>
      </c>
      <c r="AZ3" s="39"/>
      <c r="BA3" s="11"/>
      <c r="BB3" s="35"/>
      <c r="BC3" s="36"/>
      <c r="BD3" s="35"/>
      <c r="BE3" s="37"/>
      <c r="BF3" s="38" t="str">
        <f t="shared" ref="BF3:BN3" si="2">BF2</f>
        <v>BS 7671</v>
      </c>
      <c r="BG3" s="38" t="str">
        <f t="shared" si="2"/>
        <v>ABB</v>
      </c>
      <c r="BH3" s="38" t="str">
        <f t="shared" si="2"/>
        <v>Crabtree</v>
      </c>
      <c r="BI3" s="38" t="str">
        <f t="shared" si="2"/>
        <v>Dorman</v>
      </c>
      <c r="BJ3" s="38" t="str">
        <f t="shared" si="2"/>
        <v>Hager</v>
      </c>
      <c r="BK3" s="38" t="str">
        <f t="shared" si="2"/>
        <v>MEM</v>
      </c>
      <c r="BL3" s="38" t="str">
        <f t="shared" si="2"/>
        <v>Schneider</v>
      </c>
      <c r="BM3" s="38" t="str">
        <f t="shared" si="2"/>
        <v>Siemens</v>
      </c>
      <c r="BN3" s="38" t="str">
        <f t="shared" si="2"/>
        <v>Square D</v>
      </c>
      <c r="BO3" s="39"/>
    </row>
    <row r="4" spans="1:67" s="7" customFormat="1" ht="13.15" customHeight="1">
      <c r="A4" s="31" t="s">
        <v>16</v>
      </c>
      <c r="C4" s="316" t="str">
        <f>Project_Name</f>
        <v>Fife-JV</v>
      </c>
      <c r="D4" s="283"/>
      <c r="E4" s="283"/>
      <c r="F4" s="283"/>
      <c r="G4" s="283"/>
      <c r="I4" s="33" t="s">
        <v>14</v>
      </c>
      <c r="J4" s="317" t="str">
        <f>Prep_By</f>
        <v>N Holmes</v>
      </c>
      <c r="K4" s="318"/>
      <c r="L4" s="31" t="str">
        <f t="shared" si="0"/>
        <v>Project Name:</v>
      </c>
      <c r="N4" s="316" t="str">
        <f>Project_Name</f>
        <v>Fife-JV</v>
      </c>
      <c r="O4" s="283"/>
      <c r="P4" s="283"/>
      <c r="Q4" s="283"/>
      <c r="T4" s="33" t="str">
        <f>I4</f>
        <v>Prepared By:</v>
      </c>
      <c r="U4" s="317" t="str">
        <f>Prep_By</f>
        <v>N Holmes</v>
      </c>
      <c r="V4" s="318"/>
      <c r="AD4" s="22" t="s">
        <v>19</v>
      </c>
      <c r="AF4" s="40"/>
      <c r="AG4" s="41"/>
      <c r="AH4" s="42"/>
      <c r="AI4" s="5"/>
      <c r="AJ4" s="5"/>
      <c r="AK4" s="5"/>
      <c r="AL4" s="5"/>
      <c r="AM4" s="43"/>
      <c r="AN4" s="44" t="s">
        <v>20</v>
      </c>
      <c r="AO4" s="43"/>
      <c r="AP4" s="45" t="s">
        <v>21</v>
      </c>
      <c r="AQ4" s="46">
        <v>8</v>
      </c>
      <c r="AR4" s="46">
        <v>7.7</v>
      </c>
      <c r="AS4" s="46"/>
      <c r="AT4" s="46"/>
      <c r="AU4" s="46">
        <v>8.8000000000000007</v>
      </c>
      <c r="AV4" s="46"/>
      <c r="AW4" s="46">
        <v>7.6</v>
      </c>
      <c r="AX4" s="46"/>
      <c r="AY4" s="46"/>
      <c r="AZ4" s="47"/>
      <c r="BA4" s="5"/>
      <c r="BB4" s="43"/>
      <c r="BC4" s="44" t="s">
        <v>20</v>
      </c>
      <c r="BD4" s="43"/>
      <c r="BE4" s="45" t="s">
        <v>21</v>
      </c>
      <c r="BF4" s="46">
        <v>8</v>
      </c>
      <c r="BG4" s="46">
        <v>7.7</v>
      </c>
      <c r="BH4" s="46"/>
      <c r="BI4" s="46"/>
      <c r="BJ4" s="46">
        <v>8</v>
      </c>
      <c r="BK4" s="46"/>
      <c r="BL4" s="46">
        <v>7.6</v>
      </c>
      <c r="BM4" s="46"/>
      <c r="BN4" s="46"/>
      <c r="BO4" s="47"/>
    </row>
    <row r="5" spans="1:67" s="22" customFormat="1" ht="13.15" customHeight="1">
      <c r="A5" s="31" t="s">
        <v>22</v>
      </c>
      <c r="C5" s="316" t="str">
        <f>Project_No</f>
        <v>MW502</v>
      </c>
      <c r="D5" s="283"/>
      <c r="E5" s="283"/>
      <c r="F5" s="283"/>
      <c r="G5" s="283"/>
      <c r="I5" s="33" t="s">
        <v>18</v>
      </c>
      <c r="J5" s="319" t="str">
        <f>Date</f>
        <v>26.06.10</v>
      </c>
      <c r="K5" s="318"/>
      <c r="L5" s="31" t="str">
        <f t="shared" si="0"/>
        <v>Project Nº:</v>
      </c>
      <c r="N5" s="316" t="str">
        <f>Project_No</f>
        <v>MW502</v>
      </c>
      <c r="O5" s="283"/>
      <c r="P5" s="283"/>
      <c r="Q5" s="283"/>
      <c r="T5" s="33" t="str">
        <f>I5</f>
        <v>Date Prepared:</v>
      </c>
      <c r="U5" s="319" t="str">
        <f>Date</f>
        <v>26.06.10</v>
      </c>
      <c r="V5" s="318"/>
      <c r="AD5" s="22" t="s">
        <v>25</v>
      </c>
      <c r="AF5" s="40"/>
      <c r="AG5" s="41"/>
      <c r="AH5" s="42"/>
      <c r="AI5" s="5" t="s">
        <v>26</v>
      </c>
      <c r="AJ5" s="5" t="s">
        <v>27</v>
      </c>
      <c r="AK5" s="5" t="s">
        <v>28</v>
      </c>
      <c r="AL5" s="5"/>
      <c r="AM5" s="48"/>
      <c r="AN5" s="49" t="s">
        <v>29</v>
      </c>
      <c r="AO5" s="48"/>
      <c r="AP5" s="50" t="s">
        <v>30</v>
      </c>
      <c r="AQ5" s="51">
        <v>4</v>
      </c>
      <c r="AR5" s="51">
        <v>3.8</v>
      </c>
      <c r="AS5" s="51"/>
      <c r="AT5" s="51"/>
      <c r="AU5" s="46">
        <v>8.8000000000000007</v>
      </c>
      <c r="AV5" s="51"/>
      <c r="AW5" s="51">
        <v>4.8899999999999997</v>
      </c>
      <c r="AX5" s="51"/>
      <c r="AY5" s="46"/>
      <c r="AZ5" s="52"/>
      <c r="BA5" s="5"/>
      <c r="BB5" s="48"/>
      <c r="BC5" s="49" t="s">
        <v>29</v>
      </c>
      <c r="BD5" s="48"/>
      <c r="BE5" s="50" t="s">
        <v>30</v>
      </c>
      <c r="BF5" s="51">
        <v>4</v>
      </c>
      <c r="BG5" s="51">
        <v>3.8</v>
      </c>
      <c r="BH5" s="51"/>
      <c r="BI5" s="51"/>
      <c r="BJ5" s="46">
        <v>4</v>
      </c>
      <c r="BK5" s="51"/>
      <c r="BL5" s="51">
        <v>3.88</v>
      </c>
      <c r="BM5" s="51"/>
      <c r="BN5" s="46"/>
      <c r="BO5" s="52"/>
    </row>
    <row r="6" spans="1:67" s="22" customFormat="1" ht="13.15" customHeight="1">
      <c r="A6" s="31" t="s">
        <v>31</v>
      </c>
      <c r="C6" s="316" t="str">
        <f>Area_Zone_Level</f>
        <v>Level 00 - DB Zone E1|0|BL</v>
      </c>
      <c r="D6" s="283"/>
      <c r="E6" s="283"/>
      <c r="F6" s="283"/>
      <c r="G6" s="283"/>
      <c r="I6" s="33" t="s">
        <v>24</v>
      </c>
      <c r="J6" s="317" t="s">
        <v>243</v>
      </c>
      <c r="K6" s="318"/>
      <c r="L6" s="31" t="str">
        <f t="shared" si="0"/>
        <v>Area/Zone/Level:</v>
      </c>
      <c r="N6" s="316" t="str">
        <f>Area_Zone_Level</f>
        <v>Level 00 - DB Zone E1|0|BL</v>
      </c>
      <c r="O6" s="283"/>
      <c r="P6" s="283"/>
      <c r="Q6" s="283"/>
      <c r="T6" s="33" t="str">
        <f>I6</f>
        <v>Revision:</v>
      </c>
      <c r="U6" s="317" t="str">
        <f>J6</f>
        <v>C1</v>
      </c>
      <c r="V6" s="318"/>
      <c r="AD6" s="22" t="s">
        <v>34</v>
      </c>
      <c r="AF6" s="40"/>
      <c r="AG6" s="41"/>
      <c r="AH6" s="53" t="s">
        <v>35</v>
      </c>
      <c r="AI6" s="54">
        <f>IF(AND(homerun_csa=2.5,homerun_tp=70),24,IF(AND(homerun_csa=2.5,homerun_tp=90),30,IF(AND(homerun_csa=4,homerun_tp=70),32,IF(AND(homerun_csa=4,homerun_tp=90),40,IF(AND(homerun_csa=6,homerun_tp=70),51,IF(AND(homerun_csa=6,homerun_tp=90),51,IF(AND(homerun_csa=6,homerun_tp=90),51,"ERR")))))))</f>
        <v>40</v>
      </c>
      <c r="AJ6" s="54">
        <f>IF(AND(extender_csa=1.5,extender_tp=70),16,IF(AND(extender_csa=2.5,extender_tp=70),25,IF(AND(extender_csa=2.5,extender_tp=90),28,IF(AND(extender_csa=4,extender_tp=70),32,IF(AND(extender_csa=4,extender_tp=90),37,"ERR")))))</f>
        <v>25</v>
      </c>
      <c r="AK6" s="54">
        <f>IF(AND(SD_csa=1.5,SD_tp=70),16,IF(AND(SD_csa=2.5,SD_tp=70),25,IF(AND(SD_csa=2.5,SD_tp=90),28,IF(AND(SD_csa=4,SD_tp=70),32,IF(AND(SD_csa=4,SD_tp=90),37,"ERR")))))</f>
        <v>16</v>
      </c>
      <c r="AL6" s="5"/>
      <c r="AM6" s="48"/>
      <c r="AN6" s="49" t="s">
        <v>29</v>
      </c>
      <c r="AO6" s="48"/>
      <c r="AP6" s="50" t="s">
        <v>36</v>
      </c>
      <c r="AQ6" s="51">
        <v>2</v>
      </c>
      <c r="AR6" s="51">
        <v>2.7</v>
      </c>
      <c r="AS6" s="51"/>
      <c r="AT6" s="51"/>
      <c r="AU6" s="46">
        <v>8.8000000000000007</v>
      </c>
      <c r="AV6" s="51"/>
      <c r="AW6" s="51">
        <v>4.8899999999999997</v>
      </c>
      <c r="AX6" s="51"/>
      <c r="AY6" s="46"/>
      <c r="AZ6" s="52"/>
      <c r="BA6" s="5"/>
      <c r="BB6" s="48"/>
      <c r="BC6" s="49" t="s">
        <v>29</v>
      </c>
      <c r="BD6" s="48"/>
      <c r="BE6" s="50" t="s">
        <v>36</v>
      </c>
      <c r="BF6" s="51">
        <v>2</v>
      </c>
      <c r="BG6" s="51">
        <v>2.7</v>
      </c>
      <c r="BH6" s="51"/>
      <c r="BI6" s="51"/>
      <c r="BJ6" s="46">
        <v>1</v>
      </c>
      <c r="BK6" s="51"/>
      <c r="BL6" s="51">
        <v>2.74</v>
      </c>
      <c r="BM6" s="51"/>
      <c r="BN6" s="46"/>
      <c r="BO6" s="52"/>
    </row>
    <row r="7" spans="1:67" s="22" customFormat="1" ht="13.15" customHeight="1">
      <c r="A7" s="31" t="s">
        <v>37</v>
      </c>
      <c r="C7" s="316" t="str">
        <f>Drawing_No</f>
        <v>CD-MS-02-L(62)1-XX-006</v>
      </c>
      <c r="D7" s="283"/>
      <c r="E7" s="283"/>
      <c r="F7" s="283"/>
      <c r="G7" s="283"/>
      <c r="I7" s="33" t="s">
        <v>33</v>
      </c>
      <c r="J7" s="317"/>
      <c r="K7" s="318"/>
      <c r="L7" s="31" t="str">
        <f t="shared" si="0"/>
        <v>Drawing Nº:</v>
      </c>
      <c r="N7" s="316" t="str">
        <f>Drawing_No</f>
        <v>CD-MS-02-L(62)1-XX-006</v>
      </c>
      <c r="O7" s="283"/>
      <c r="P7" s="283"/>
      <c r="Q7" s="283"/>
      <c r="T7" s="33" t="str">
        <f>I7</f>
        <v>Checked By:</v>
      </c>
      <c r="U7" s="317">
        <f>J7</f>
        <v>0</v>
      </c>
      <c r="V7" s="318"/>
      <c r="AD7" s="22" t="s">
        <v>39</v>
      </c>
      <c r="AF7" s="40"/>
      <c r="AG7" s="41"/>
      <c r="AH7" s="34"/>
      <c r="AI7" s="55"/>
      <c r="AJ7" s="55"/>
      <c r="AK7" s="55"/>
      <c r="AL7" s="5"/>
      <c r="AM7" s="48"/>
      <c r="AN7" s="49" t="s">
        <v>40</v>
      </c>
      <c r="AO7" s="48"/>
      <c r="AP7" s="50" t="s">
        <v>21</v>
      </c>
      <c r="AQ7" s="51">
        <v>4.8</v>
      </c>
      <c r="AR7" s="51">
        <v>4.5999999999999996</v>
      </c>
      <c r="AS7" s="51"/>
      <c r="AT7" s="51"/>
      <c r="AU7" s="51">
        <v>5.33</v>
      </c>
      <c r="AV7" s="51"/>
      <c r="AW7" s="51">
        <v>4.5999999999999996</v>
      </c>
      <c r="AX7" s="51"/>
      <c r="AY7" s="51"/>
      <c r="AZ7" s="52"/>
      <c r="BA7" s="5"/>
      <c r="BB7" s="48"/>
      <c r="BC7" s="49" t="s">
        <v>40</v>
      </c>
      <c r="BD7" s="48"/>
      <c r="BE7" s="50" t="s">
        <v>21</v>
      </c>
      <c r="BF7" s="51">
        <v>4.8</v>
      </c>
      <c r="BG7" s="51">
        <v>4.5999999999999996</v>
      </c>
      <c r="BH7" s="51"/>
      <c r="BI7" s="51"/>
      <c r="BJ7" s="51">
        <v>4.8</v>
      </c>
      <c r="BK7" s="51"/>
      <c r="BL7" s="51">
        <v>4.5999999999999996</v>
      </c>
      <c r="BM7" s="51"/>
      <c r="BN7" s="51"/>
      <c r="BO7" s="52"/>
    </row>
    <row r="8" spans="1:67" s="22" customFormat="1" ht="13.15" customHeight="1">
      <c r="A8" s="31" t="s">
        <v>17</v>
      </c>
      <c r="B8" s="7"/>
      <c r="C8" s="301" t="str">
        <f>Service</f>
        <v>Lighting</v>
      </c>
      <c r="D8" s="302"/>
      <c r="E8" s="302"/>
      <c r="F8" s="283"/>
      <c r="G8" s="283"/>
      <c r="J8" s="303" t="s">
        <v>242</v>
      </c>
      <c r="K8" s="304"/>
      <c r="L8" s="31" t="str">
        <f t="shared" si="0"/>
        <v>Service:</v>
      </c>
      <c r="M8" s="7"/>
      <c r="N8" s="301" t="str">
        <f>Service</f>
        <v>Lighting</v>
      </c>
      <c r="O8" s="302"/>
      <c r="P8" s="302"/>
      <c r="Q8" s="19"/>
      <c r="U8" s="303" t="str">
        <f>J8</f>
        <v>UCVD May 2010 V4.3</v>
      </c>
      <c r="V8" s="304"/>
      <c r="AB8" s="17"/>
      <c r="AE8" s="21"/>
      <c r="AF8" s="40"/>
      <c r="AG8" s="41"/>
      <c r="AH8" s="53" t="s">
        <v>41</v>
      </c>
      <c r="AI8" s="54">
        <f>IF(AND(homerun_csa=2.5,homerun_tp=70),18,IF(AND(homerun_csa=2.5,homerun_tp=90),19,IF(AND(homerun_csa=4,homerun_tp=70),11,IF(AND(homerun_csa=4,homerun_tp=90),12,IF(AND(homerun_csa=4,homerun_tp=90),12,IF(AND(homerun_csa=6,homerun_tp=70),7.3,IF(AND(homerun_csa=6,homerun_tp=90),7.9,"ERR")))))))</f>
        <v>12</v>
      </c>
      <c r="AJ8" s="54">
        <f>IF(extender_csa=1.5,32,IF(extender_csa=2.5,19,IF(extender_csa=4,12,"ERR")))</f>
        <v>19</v>
      </c>
      <c r="AK8" s="54">
        <f>IF(SD_csa=1.5,32,IF(SD_csa=2.5,19,IF(SD_csa=4,12,"ERR")))</f>
        <v>32</v>
      </c>
      <c r="AL8" s="5"/>
      <c r="AM8" s="48"/>
      <c r="AN8" s="49" t="s">
        <v>29</v>
      </c>
      <c r="AO8" s="48"/>
      <c r="AP8" s="50" t="s">
        <v>30</v>
      </c>
      <c r="AQ8" s="51">
        <v>2.4</v>
      </c>
      <c r="AR8" s="51">
        <v>2.2000000000000002</v>
      </c>
      <c r="AS8" s="51"/>
      <c r="AT8" s="51"/>
      <c r="AU8" s="51">
        <v>5.33</v>
      </c>
      <c r="AV8" s="51"/>
      <c r="AW8" s="51">
        <v>2.95</v>
      </c>
      <c r="AX8" s="51"/>
      <c r="AY8" s="51"/>
      <c r="AZ8" s="52"/>
      <c r="BA8" s="5"/>
      <c r="BB8" s="48"/>
      <c r="BC8" s="49" t="s">
        <v>29</v>
      </c>
      <c r="BD8" s="48"/>
      <c r="BE8" s="50" t="s">
        <v>30</v>
      </c>
      <c r="BF8" s="51">
        <v>2.4</v>
      </c>
      <c r="BG8" s="51">
        <v>2.2000000000000002</v>
      </c>
      <c r="BH8" s="51"/>
      <c r="BI8" s="51"/>
      <c r="BJ8" s="51">
        <v>2.4</v>
      </c>
      <c r="BK8" s="51"/>
      <c r="BL8" s="51">
        <v>2.2999999999999998</v>
      </c>
      <c r="BM8" s="51"/>
      <c r="BN8" s="51"/>
      <c r="BO8" s="52"/>
    </row>
    <row r="9" spans="1:67" s="7" customFormat="1" ht="13.15" customHeight="1">
      <c r="X9" s="9"/>
      <c r="AD9" s="22"/>
      <c r="AH9" s="34"/>
      <c r="AI9" s="55"/>
      <c r="AJ9" s="55"/>
      <c r="AK9" s="55"/>
      <c r="AL9" s="5"/>
      <c r="AM9" s="48"/>
      <c r="AN9" s="49" t="s">
        <v>29</v>
      </c>
      <c r="AO9" s="48"/>
      <c r="AP9" s="50" t="s">
        <v>36</v>
      </c>
      <c r="AQ9" s="51">
        <v>1.2</v>
      </c>
      <c r="AR9" s="51">
        <v>1.6</v>
      </c>
      <c r="AS9" s="51"/>
      <c r="AT9" s="51"/>
      <c r="AU9" s="51">
        <v>5.33</v>
      </c>
      <c r="AV9" s="51"/>
      <c r="AW9" s="51">
        <v>2.95</v>
      </c>
      <c r="AX9" s="51"/>
      <c r="AY9" s="51"/>
      <c r="AZ9" s="52"/>
      <c r="BA9" s="5"/>
      <c r="BB9" s="48"/>
      <c r="BC9" s="49" t="s">
        <v>29</v>
      </c>
      <c r="BD9" s="48"/>
      <c r="BE9" s="50" t="s">
        <v>36</v>
      </c>
      <c r="BF9" s="51">
        <v>1.2</v>
      </c>
      <c r="BG9" s="51">
        <v>1.6</v>
      </c>
      <c r="BH9" s="51"/>
      <c r="BI9" s="51"/>
      <c r="BJ9" s="51">
        <v>1.2</v>
      </c>
      <c r="BK9" s="51"/>
      <c r="BL9" s="51">
        <v>1.64</v>
      </c>
      <c r="BM9" s="51"/>
      <c r="BN9" s="51"/>
      <c r="BO9" s="52"/>
    </row>
    <row r="10" spans="1:67" ht="13.15" customHeight="1">
      <c r="A10" s="18" t="s">
        <v>23</v>
      </c>
      <c r="C10" s="305">
        <f>DB_Ref</f>
        <v>2</v>
      </c>
      <c r="D10" s="306"/>
      <c r="E10" s="286"/>
      <c r="L10" s="18" t="str">
        <f>A10</f>
        <v>DB Ref:</v>
      </c>
      <c r="M10" s="57"/>
      <c r="N10" s="307">
        <f>C10</f>
        <v>2</v>
      </c>
      <c r="O10" s="308"/>
      <c r="P10" s="309"/>
      <c r="Q10" s="56"/>
      <c r="R10" s="57"/>
      <c r="U10" s="57"/>
      <c r="V10" s="57"/>
      <c r="AD10" s="22"/>
      <c r="AH10" s="53" t="s">
        <v>48</v>
      </c>
      <c r="AI10" s="54">
        <f>IF(homerun_csa=2.5,7.41,IF(homerun_csa=4,4.61,IF(homerun_csa=6,3.08,"ERR")))</f>
        <v>4.6100000000000003</v>
      </c>
      <c r="AJ10" s="61">
        <f>IF(extender_csa=1.5,13.3,IF(extender_csa=2.5,7.98,IF(extender_csa=4,5.6,"ERR")))</f>
        <v>7.98</v>
      </c>
      <c r="AK10" s="61">
        <f>IF(SD_csa=1.5,13.3,IF(SD_csa=2.5,7.98,IF(SD_csa=4,5.6,"ERR")))</f>
        <v>13.3</v>
      </c>
      <c r="AL10" s="5"/>
      <c r="AM10" s="62"/>
      <c r="AN10" s="63" t="s">
        <v>49</v>
      </c>
      <c r="AO10" s="62"/>
      <c r="AP10" s="64" t="s">
        <v>21</v>
      </c>
      <c r="AQ10" s="65">
        <v>3</v>
      </c>
      <c r="AR10" s="65">
        <v>2.9</v>
      </c>
      <c r="AS10" s="65"/>
      <c r="AT10" s="65"/>
      <c r="AU10" s="65">
        <v>3.33</v>
      </c>
      <c r="AV10" s="65"/>
      <c r="AW10" s="65">
        <v>2.88</v>
      </c>
      <c r="AX10" s="65"/>
      <c r="AY10" s="65"/>
      <c r="AZ10" s="66"/>
      <c r="BA10" s="5"/>
      <c r="BB10" s="62"/>
      <c r="BC10" s="63" t="s">
        <v>49</v>
      </c>
      <c r="BD10" s="62"/>
      <c r="BE10" s="64" t="s">
        <v>21</v>
      </c>
      <c r="BF10" s="65">
        <v>3</v>
      </c>
      <c r="BG10" s="65">
        <v>2.9</v>
      </c>
      <c r="BH10" s="65"/>
      <c r="BI10" s="65"/>
      <c r="BJ10" s="65">
        <v>3</v>
      </c>
      <c r="BK10" s="65"/>
      <c r="BL10" s="65">
        <v>2.88</v>
      </c>
      <c r="BM10" s="65"/>
      <c r="BN10" s="65"/>
      <c r="BO10" s="66"/>
    </row>
    <row r="11" spans="1:67" ht="13.15" customHeight="1">
      <c r="A11" s="18" t="s">
        <v>32</v>
      </c>
      <c r="C11" s="271" t="str">
        <f>DB_Ref&amp;"|"</f>
        <v>2|</v>
      </c>
      <c r="D11" s="272" t="s">
        <v>250</v>
      </c>
      <c r="E11" s="270"/>
      <c r="L11" s="18" t="str">
        <f>A11</f>
        <v>MDB Nº:</v>
      </c>
      <c r="M11" s="57"/>
      <c r="N11" s="307" t="str">
        <f>C11</f>
        <v>2|</v>
      </c>
      <c r="O11" s="308"/>
      <c r="P11" s="309"/>
      <c r="Q11" s="56"/>
      <c r="R11" s="57"/>
      <c r="U11" s="57"/>
      <c r="V11" s="57"/>
      <c r="AI11" s="55"/>
      <c r="AJ11" s="55"/>
      <c r="AK11" s="55"/>
      <c r="AL11" s="5"/>
      <c r="AM11" s="48"/>
      <c r="AN11" s="49" t="s">
        <v>29</v>
      </c>
      <c r="AO11" s="48"/>
      <c r="AP11" s="50" t="s">
        <v>30</v>
      </c>
      <c r="AQ11" s="51">
        <v>1.5</v>
      </c>
      <c r="AR11" s="51">
        <v>1.4</v>
      </c>
      <c r="AS11" s="65"/>
      <c r="AT11" s="51"/>
      <c r="AU11" s="65">
        <v>3.33</v>
      </c>
      <c r="AV11" s="51"/>
      <c r="AW11" s="65">
        <v>1.84</v>
      </c>
      <c r="AX11" s="51"/>
      <c r="AY11" s="65"/>
      <c r="AZ11" s="52"/>
      <c r="BA11" s="5"/>
      <c r="BB11" s="48"/>
      <c r="BC11" s="49" t="s">
        <v>29</v>
      </c>
      <c r="BD11" s="48"/>
      <c r="BE11" s="50" t="s">
        <v>30</v>
      </c>
      <c r="BF11" s="51">
        <v>1.5</v>
      </c>
      <c r="BG11" s="51">
        <v>1.4</v>
      </c>
      <c r="BH11" s="65"/>
      <c r="BI11" s="51"/>
      <c r="BJ11" s="65">
        <v>1.5</v>
      </c>
      <c r="BK11" s="51"/>
      <c r="BL11" s="65">
        <v>1.44</v>
      </c>
      <c r="BM11" s="51"/>
      <c r="BN11" s="65"/>
      <c r="BO11" s="52"/>
    </row>
    <row r="12" spans="1:67" ht="13.15" customHeight="1">
      <c r="A12" s="18" t="s">
        <v>38</v>
      </c>
      <c r="C12" s="305" t="str">
        <f ca="1">C10&amp;"|"&amp;MID(CELL("filename",A1),FIND("]",CELL("filename",A1))+1,32)</f>
        <v>2|7L3b</v>
      </c>
      <c r="D12" s="306"/>
      <c r="E12" s="286"/>
      <c r="L12" s="18" t="str">
        <f>A12</f>
        <v>Circuit Ref:</v>
      </c>
      <c r="M12" s="57"/>
      <c r="N12" s="305" t="str">
        <f ca="1">C12</f>
        <v>2|7L3b</v>
      </c>
      <c r="O12" s="310"/>
      <c r="P12" s="311"/>
      <c r="Q12" s="56"/>
      <c r="R12" s="57"/>
      <c r="U12" s="57"/>
      <c r="V12" s="57"/>
      <c r="AH12" s="34" t="s">
        <v>59</v>
      </c>
      <c r="AI12" s="71">
        <f>homerun_Z1*mdb_CPD_R_Factor</f>
        <v>6.136832000000001</v>
      </c>
      <c r="AJ12" s="71">
        <f>extender_Z1*extender_CPD_R_Factor</f>
        <v>9.9590399999999999</v>
      </c>
      <c r="AK12" s="71">
        <f>SD_Z1*SD_CPD_R_Factor</f>
        <v>16.598400000000002</v>
      </c>
      <c r="AL12" s="5"/>
      <c r="AM12" s="48"/>
      <c r="AN12" s="49" t="s">
        <v>29</v>
      </c>
      <c r="AO12" s="48"/>
      <c r="AP12" s="50" t="s">
        <v>36</v>
      </c>
      <c r="AQ12" s="51">
        <v>0.75</v>
      </c>
      <c r="AR12" s="51">
        <v>1</v>
      </c>
      <c r="AS12" s="65"/>
      <c r="AT12" s="51"/>
      <c r="AU12" s="65">
        <v>3.33</v>
      </c>
      <c r="AV12" s="51"/>
      <c r="AW12" s="65">
        <v>1.84</v>
      </c>
      <c r="AX12" s="51"/>
      <c r="AY12" s="65"/>
      <c r="AZ12" s="52"/>
      <c r="BA12" s="5"/>
      <c r="BB12" s="48"/>
      <c r="BC12" s="49" t="s">
        <v>29</v>
      </c>
      <c r="BD12" s="48"/>
      <c r="BE12" s="50" t="s">
        <v>36</v>
      </c>
      <c r="BF12" s="51">
        <v>0.75</v>
      </c>
      <c r="BG12" s="51">
        <v>1</v>
      </c>
      <c r="BH12" s="65"/>
      <c r="BI12" s="51"/>
      <c r="BJ12" s="65">
        <v>0.75</v>
      </c>
      <c r="BK12" s="51"/>
      <c r="BL12" s="65">
        <v>1.03</v>
      </c>
      <c r="BM12" s="51"/>
      <c r="BN12" s="65"/>
      <c r="BO12" s="52"/>
    </row>
    <row r="13" spans="1:67" s="196" customFormat="1" ht="13.15" customHeight="1">
      <c r="A13" s="55"/>
      <c r="B13" s="57"/>
      <c r="C13" s="55"/>
      <c r="D13" s="56"/>
      <c r="E13" s="55"/>
      <c r="F13" s="56"/>
      <c r="G13" s="57"/>
      <c r="H13" s="55"/>
      <c r="I13" s="55"/>
      <c r="J13" s="57"/>
      <c r="K13" s="57"/>
      <c r="L13" s="55"/>
      <c r="M13" s="57"/>
      <c r="N13" s="55"/>
      <c r="O13" s="56"/>
      <c r="P13" s="55"/>
      <c r="Q13" s="56"/>
      <c r="R13" s="57"/>
      <c r="S13" s="55"/>
      <c r="T13" s="55"/>
      <c r="U13" s="57"/>
      <c r="V13" s="57"/>
      <c r="AD13" s="197"/>
      <c r="AE13" s="197"/>
      <c r="AF13" s="198"/>
      <c r="AG13" s="198"/>
      <c r="AH13" s="199" t="s">
        <v>65</v>
      </c>
      <c r="AI13" s="200">
        <f>Homerun_ZinstPH</f>
        <v>6.136832000000001</v>
      </c>
      <c r="AJ13" s="200">
        <f>Extender_ZinstPH</f>
        <v>9.9590399999999999</v>
      </c>
      <c r="AK13" s="200">
        <f>SD_ZinstPH</f>
        <v>16.598400000000002</v>
      </c>
      <c r="AL13" s="201"/>
      <c r="AM13" s="202"/>
      <c r="AN13" s="203" t="s">
        <v>66</v>
      </c>
      <c r="AO13" s="202"/>
      <c r="AP13" s="204" t="s">
        <v>21</v>
      </c>
      <c r="AQ13" s="205">
        <v>2.4</v>
      </c>
      <c r="AR13" s="205">
        <v>2.2999999999999998</v>
      </c>
      <c r="AS13" s="205"/>
      <c r="AT13" s="205"/>
      <c r="AU13" s="205">
        <v>2.66</v>
      </c>
      <c r="AV13" s="205"/>
      <c r="AW13" s="205">
        <v>2.2999999999999998</v>
      </c>
      <c r="AX13" s="205"/>
      <c r="AY13" s="205"/>
      <c r="AZ13" s="206"/>
      <c r="BA13" s="201"/>
      <c r="BB13" s="202"/>
      <c r="BC13" s="203" t="s">
        <v>66</v>
      </c>
      <c r="BD13" s="202"/>
      <c r="BE13" s="204" t="s">
        <v>21</v>
      </c>
      <c r="BF13" s="205">
        <v>2.4</v>
      </c>
      <c r="BG13" s="205">
        <v>2.2999999999999998</v>
      </c>
      <c r="BH13" s="205"/>
      <c r="BI13" s="205"/>
      <c r="BJ13" s="205">
        <v>2.4</v>
      </c>
      <c r="BK13" s="205"/>
      <c r="BL13" s="205">
        <v>2.2999999999999998</v>
      </c>
      <c r="BM13" s="205"/>
      <c r="BN13" s="205"/>
      <c r="BO13" s="206"/>
    </row>
    <row r="14" spans="1:67" ht="13.15" customHeight="1">
      <c r="A14" s="30" t="s">
        <v>190</v>
      </c>
      <c r="B14" s="56"/>
      <c r="C14" s="57"/>
      <c r="D14" s="55"/>
      <c r="G14" s="30" t="s">
        <v>189</v>
      </c>
      <c r="I14" s="57"/>
      <c r="J14" s="96"/>
      <c r="K14" s="72"/>
      <c r="L14" s="30" t="s">
        <v>158</v>
      </c>
      <c r="M14" s="57"/>
      <c r="O14" s="56"/>
      <c r="Q14" s="56"/>
      <c r="R14" s="57"/>
      <c r="U14" s="57"/>
      <c r="V14" s="57"/>
      <c r="AL14" s="5"/>
      <c r="AM14" s="48"/>
      <c r="AN14" s="49" t="s">
        <v>29</v>
      </c>
      <c r="AO14" s="48"/>
      <c r="AP14" s="50" t="s">
        <v>30</v>
      </c>
      <c r="AQ14" s="51">
        <v>1.2</v>
      </c>
      <c r="AR14" s="51">
        <v>1.2</v>
      </c>
      <c r="AS14" s="51"/>
      <c r="AT14" s="51"/>
      <c r="AU14" s="51">
        <v>2.66</v>
      </c>
      <c r="AV14" s="51"/>
      <c r="AW14" s="51">
        <v>1.47</v>
      </c>
      <c r="AX14" s="51"/>
      <c r="AY14" s="51"/>
      <c r="AZ14" s="52"/>
      <c r="BA14" s="5"/>
      <c r="BB14" s="48"/>
      <c r="BC14" s="49" t="s">
        <v>29</v>
      </c>
      <c r="BD14" s="48"/>
      <c r="BE14" s="50" t="s">
        <v>30</v>
      </c>
      <c r="BF14" s="51">
        <v>1.2</v>
      </c>
      <c r="BG14" s="51">
        <v>1.2</v>
      </c>
      <c r="BH14" s="51"/>
      <c r="BI14" s="51"/>
      <c r="BJ14" s="51">
        <v>1.2</v>
      </c>
      <c r="BK14" s="51"/>
      <c r="BL14" s="51">
        <v>1.1499999999999999</v>
      </c>
      <c r="BM14" s="51"/>
      <c r="BN14" s="51"/>
      <c r="BO14" s="52"/>
    </row>
    <row r="15" spans="1:67" ht="13.15" customHeight="1">
      <c r="A15" s="55" t="s">
        <v>45</v>
      </c>
      <c r="B15" s="56"/>
      <c r="D15" s="218">
        <f ca="1">AI46*100</f>
        <v>2.15</v>
      </c>
      <c r="E15" s="58" t="s">
        <v>46</v>
      </c>
      <c r="G15" s="69" t="s">
        <v>93</v>
      </c>
      <c r="I15" s="57"/>
      <c r="J15" s="153">
        <v>6</v>
      </c>
      <c r="K15" s="56"/>
      <c r="M15" s="57"/>
      <c r="O15" s="56"/>
      <c r="Q15" s="56"/>
      <c r="R15" s="57"/>
      <c r="U15" s="57"/>
      <c r="V15" s="57"/>
      <c r="AH15" s="34" t="s">
        <v>74</v>
      </c>
      <c r="AI15" s="55">
        <f>IF(CPD="BS7671",1,AI19)</f>
        <v>1.3312000000000002</v>
      </c>
      <c r="AJ15" s="55">
        <f>IF(CPD="BS7671",1,AJ19)</f>
        <v>1.248</v>
      </c>
      <c r="AK15" s="55">
        <f>IF(CPD="BS7671",1,AK19)</f>
        <v>1.248</v>
      </c>
      <c r="AL15" s="5"/>
      <c r="AM15" s="48"/>
      <c r="AN15" s="49" t="s">
        <v>29</v>
      </c>
      <c r="AO15" s="48"/>
      <c r="AP15" s="50" t="s">
        <v>36</v>
      </c>
      <c r="AQ15" s="51">
        <v>0.6</v>
      </c>
      <c r="AR15" s="51">
        <v>0.8</v>
      </c>
      <c r="AS15" s="51"/>
      <c r="AT15" s="51"/>
      <c r="AU15" s="51">
        <v>2.66</v>
      </c>
      <c r="AV15" s="51"/>
      <c r="AW15" s="51">
        <v>1.47</v>
      </c>
      <c r="AX15" s="51"/>
      <c r="AY15" s="51"/>
      <c r="AZ15" s="52"/>
      <c r="BA15" s="5"/>
      <c r="BB15" s="48"/>
      <c r="BC15" s="49" t="s">
        <v>29</v>
      </c>
      <c r="BD15" s="48"/>
      <c r="BE15" s="50" t="s">
        <v>36</v>
      </c>
      <c r="BF15" s="51">
        <v>0.6</v>
      </c>
      <c r="BG15" s="51">
        <v>0.8</v>
      </c>
      <c r="BH15" s="51"/>
      <c r="BI15" s="51"/>
      <c r="BJ15" s="51">
        <v>0.6</v>
      </c>
      <c r="BK15" s="51"/>
      <c r="BL15" s="51">
        <v>0.82</v>
      </c>
      <c r="BM15" s="51"/>
      <c r="BN15" s="51"/>
      <c r="BO15" s="52"/>
    </row>
    <row r="16" spans="1:67" ht="13.15" customHeight="1">
      <c r="A16" s="55" t="s">
        <v>52</v>
      </c>
      <c r="B16" s="56"/>
      <c r="D16" s="219">
        <f ca="1">Source_Nominal_V-'7L3b'!AI47</f>
        <v>225.05500000000001</v>
      </c>
      <c r="E16" s="56" t="s">
        <v>44</v>
      </c>
      <c r="G16" s="55" t="s">
        <v>96</v>
      </c>
      <c r="J16" s="154">
        <v>4</v>
      </c>
      <c r="K16" s="55" t="s">
        <v>97</v>
      </c>
      <c r="L16" s="73" t="s">
        <v>68</v>
      </c>
      <c r="M16" s="73" t="s">
        <v>68</v>
      </c>
      <c r="N16" s="74" t="s">
        <v>69</v>
      </c>
      <c r="O16" s="312" t="s">
        <v>70</v>
      </c>
      <c r="P16" s="313"/>
      <c r="Q16" s="279"/>
      <c r="R16" s="49" t="s">
        <v>71</v>
      </c>
      <c r="S16" s="74"/>
      <c r="T16" s="75" t="s">
        <v>72</v>
      </c>
      <c r="U16" s="75" t="s">
        <v>73</v>
      </c>
      <c r="V16" s="57"/>
      <c r="AL16" s="5"/>
      <c r="AM16" s="48"/>
      <c r="AN16" s="49" t="s">
        <v>83</v>
      </c>
      <c r="AO16" s="48"/>
      <c r="AP16" s="50" t="s">
        <v>21</v>
      </c>
      <c r="AQ16" s="51">
        <v>1.8</v>
      </c>
      <c r="AR16" s="51">
        <v>1.8</v>
      </c>
      <c r="AS16" s="51"/>
      <c r="AT16" s="51"/>
      <c r="AU16" s="51">
        <v>2.14</v>
      </c>
      <c r="AV16" s="51"/>
      <c r="AW16" s="51">
        <v>1.84</v>
      </c>
      <c r="AX16" s="51"/>
      <c r="AY16" s="51"/>
      <c r="AZ16" s="52"/>
      <c r="BA16" s="5"/>
      <c r="BB16" s="48"/>
      <c r="BC16" s="49" t="s">
        <v>83</v>
      </c>
      <c r="BD16" s="48"/>
      <c r="BE16" s="50" t="s">
        <v>21</v>
      </c>
      <c r="BF16" s="51">
        <v>1.8</v>
      </c>
      <c r="BG16" s="51">
        <v>1.8</v>
      </c>
      <c r="BH16" s="51"/>
      <c r="BI16" s="51"/>
      <c r="BJ16" s="51">
        <v>1.92</v>
      </c>
      <c r="BK16" s="51"/>
      <c r="BL16" s="51">
        <v>1.84</v>
      </c>
      <c r="BM16" s="51"/>
      <c r="BN16" s="51"/>
      <c r="BO16" s="52"/>
    </row>
    <row r="17" spans="1:67" ht="13.15" customHeight="1">
      <c r="A17" s="55" t="s">
        <v>55</v>
      </c>
      <c r="D17" s="259">
        <f>Ipsc_Max_DB</f>
        <v>14430</v>
      </c>
      <c r="E17" s="56" t="s">
        <v>56</v>
      </c>
      <c r="G17" s="55" t="s">
        <v>99</v>
      </c>
      <c r="I17" s="57"/>
      <c r="J17" s="155" t="s">
        <v>100</v>
      </c>
      <c r="K17" s="56"/>
      <c r="L17" s="76" t="s">
        <v>76</v>
      </c>
      <c r="M17" s="76" t="s">
        <v>77</v>
      </c>
      <c r="N17" s="77" t="s">
        <v>78</v>
      </c>
      <c r="O17" s="78" t="s">
        <v>79</v>
      </c>
      <c r="P17" s="77" t="s">
        <v>80</v>
      </c>
      <c r="Q17" s="78" t="s">
        <v>79</v>
      </c>
      <c r="R17" s="79" t="s">
        <v>80</v>
      </c>
      <c r="S17" s="80" t="s">
        <v>46</v>
      </c>
      <c r="T17" s="81" t="s">
        <v>157</v>
      </c>
      <c r="U17" s="82" t="s">
        <v>81</v>
      </c>
      <c r="V17" s="57"/>
      <c r="X17" s="83" t="s">
        <v>72</v>
      </c>
      <c r="Y17" s="83" t="s">
        <v>73</v>
      </c>
      <c r="Z17" s="83" t="s">
        <v>82</v>
      </c>
      <c r="AH17" s="34" t="s">
        <v>87</v>
      </c>
      <c r="AI17" s="34">
        <v>1.04</v>
      </c>
      <c r="AJ17" s="34">
        <f>AI17</f>
        <v>1.04</v>
      </c>
      <c r="AK17" s="34">
        <f>AJ17</f>
        <v>1.04</v>
      </c>
      <c r="AL17" s="5"/>
      <c r="AM17" s="48"/>
      <c r="AN17" s="49" t="s">
        <v>29</v>
      </c>
      <c r="AO17" s="48"/>
      <c r="AP17" s="50" t="s">
        <v>30</v>
      </c>
      <c r="AQ17" s="51">
        <v>1</v>
      </c>
      <c r="AR17" s="51">
        <v>0.9</v>
      </c>
      <c r="AS17" s="51"/>
      <c r="AT17" s="51"/>
      <c r="AU17" s="51">
        <v>2.14</v>
      </c>
      <c r="AV17" s="51"/>
      <c r="AW17" s="51">
        <v>1.18</v>
      </c>
      <c r="AX17" s="51"/>
      <c r="AY17" s="51"/>
      <c r="AZ17" s="52"/>
      <c r="BA17" s="5"/>
      <c r="BB17" s="48"/>
      <c r="BC17" s="49" t="s">
        <v>29</v>
      </c>
      <c r="BD17" s="48"/>
      <c r="BE17" s="50" t="s">
        <v>30</v>
      </c>
      <c r="BF17" s="51">
        <v>1</v>
      </c>
      <c r="BG17" s="51">
        <v>0.9</v>
      </c>
      <c r="BH17" s="51"/>
      <c r="BI17" s="51"/>
      <c r="BJ17" s="51">
        <v>0.96</v>
      </c>
      <c r="BK17" s="51"/>
      <c r="BL17" s="51">
        <v>0.92</v>
      </c>
      <c r="BM17" s="51"/>
      <c r="BN17" s="51"/>
      <c r="BO17" s="52"/>
    </row>
    <row r="18" spans="1:67" ht="13.15" customHeight="1">
      <c r="A18" s="55" t="s">
        <v>62</v>
      </c>
      <c r="D18" s="220">
        <f>Zs_DB</f>
        <v>7.3730000000000004E-2</v>
      </c>
      <c r="E18" s="72" t="s">
        <v>63</v>
      </c>
      <c r="G18" s="55" t="s">
        <v>206</v>
      </c>
      <c r="J18" s="55">
        <f>homerun_tp</f>
        <v>90</v>
      </c>
      <c r="K18" s="56" t="s">
        <v>207</v>
      </c>
      <c r="L18" s="225" t="s">
        <v>85</v>
      </c>
      <c r="M18" s="225" t="s">
        <v>86</v>
      </c>
      <c r="N18" s="226">
        <f>D23</f>
        <v>59</v>
      </c>
      <c r="O18" s="227" t="s">
        <v>86</v>
      </c>
      <c r="P18" s="85">
        <f>ROUND((P19),2)</f>
        <v>3.13</v>
      </c>
      <c r="Q18" s="84">
        <f>ROUND((((homerun_Vd)*P18*N18/1000)),4)</f>
        <v>2.2160000000000002</v>
      </c>
      <c r="R18" s="86">
        <f>Q18</f>
        <v>2.2160000000000002</v>
      </c>
      <c r="S18" s="87">
        <f t="shared" ref="S18:S45" si="3">ROUNDUP((100/nominal_V*R18),2)</f>
        <v>0.97</v>
      </c>
      <c r="T18" s="85">
        <f>ROUND((Ze+((homerun_PELI*N18/1000))),2)</f>
        <v>0.8</v>
      </c>
      <c r="U18" s="88">
        <f>ROUNDUP((nominal_V/((nominal_V/Ipsc)+(((homerun_R20c*mdb_CPD_R_Factor*N18*2)/1000)))),0)</f>
        <v>311</v>
      </c>
      <c r="V18" s="57"/>
      <c r="X18" s="89">
        <f>T18</f>
        <v>0.8</v>
      </c>
      <c r="Y18" s="89">
        <f>U18</f>
        <v>311</v>
      </c>
      <c r="Z18" s="89">
        <f>S18</f>
        <v>0.97</v>
      </c>
      <c r="AH18" s="34" t="s">
        <v>89</v>
      </c>
      <c r="AI18" s="34">
        <f>IF(homerun_tp=70,1.2,IF(homerun_tp=90,1.28,"ERR"))</f>
        <v>1.28</v>
      </c>
      <c r="AJ18" s="34">
        <f>IF(extender_tp,1.2,IF(extender_tp=90,1.28,"ERR"))</f>
        <v>1.2</v>
      </c>
      <c r="AK18" s="34">
        <f>IF(extender_tp,1.2,IF(extender_tp=90,1.28,"ERR"))</f>
        <v>1.2</v>
      </c>
      <c r="AL18" s="5"/>
      <c r="AM18" s="48"/>
      <c r="AN18" s="49" t="s">
        <v>29</v>
      </c>
      <c r="AO18" s="48"/>
      <c r="AP18" s="50" t="s">
        <v>36</v>
      </c>
      <c r="AQ18" s="51">
        <v>0.46</v>
      </c>
      <c r="AR18" s="51">
        <v>0.7</v>
      </c>
      <c r="AS18" s="51"/>
      <c r="AT18" s="51"/>
      <c r="AU18" s="51">
        <v>2.14</v>
      </c>
      <c r="AV18" s="51"/>
      <c r="AW18" s="51">
        <v>1.18</v>
      </c>
      <c r="AX18" s="51"/>
      <c r="AY18" s="51"/>
      <c r="AZ18" s="52"/>
      <c r="BA18" s="5"/>
      <c r="BB18" s="48"/>
      <c r="BC18" s="49" t="s">
        <v>29</v>
      </c>
      <c r="BD18" s="48"/>
      <c r="BE18" s="50" t="s">
        <v>36</v>
      </c>
      <c r="BF18" s="51">
        <v>0.46</v>
      </c>
      <c r="BG18" s="51">
        <v>0.7</v>
      </c>
      <c r="BH18" s="51"/>
      <c r="BI18" s="51"/>
      <c r="BJ18" s="51">
        <v>0.48</v>
      </c>
      <c r="BK18" s="51"/>
      <c r="BL18" s="51">
        <v>0.66</v>
      </c>
      <c r="BM18" s="51"/>
      <c r="BN18" s="51"/>
      <c r="BO18" s="52"/>
    </row>
    <row r="19" spans="1:67" ht="13.15" customHeight="1">
      <c r="D19" s="55"/>
      <c r="E19" s="56"/>
      <c r="G19" s="55" t="s">
        <v>101</v>
      </c>
      <c r="I19" s="57"/>
      <c r="J19" s="55">
        <f>homerun_It1</f>
        <v>40</v>
      </c>
      <c r="K19" s="56" t="s">
        <v>56</v>
      </c>
      <c r="L19" s="243" t="s">
        <v>202</v>
      </c>
      <c r="M19" s="228">
        <v>1</v>
      </c>
      <c r="N19" s="229">
        <v>10</v>
      </c>
      <c r="O19" s="230"/>
      <c r="P19" s="231">
        <f t="shared" ref="P19:P45" si="4">ROUND((P20+O19),2)</f>
        <v>3.13</v>
      </c>
      <c r="Q19" s="90">
        <f t="shared" ref="Q19:Q45" si="5">IF(L19="A",(ROUND((((extender_Vd*P19*N19)/1000)),4)),IF(L19="D",(ROUND((((SD_Vd*P19*N19)/1000)),4)),IF(L19="F",(ROUND((((SD_Vd*P19*N19)/1000)),4)),IF(L19="U",(ROUND((((SD_Vd*P19*N19)/1000)),4)),0))))</f>
        <v>1.0016</v>
      </c>
      <c r="R19" s="91">
        <f t="shared" ref="R19:R45" si="6">IF(M19=0,0,IF(M19&gt;0.5,Q19+R18,err))</f>
        <v>3.2176</v>
      </c>
      <c r="S19" s="87">
        <f t="shared" si="3"/>
        <v>1.4</v>
      </c>
      <c r="T19" s="92">
        <f t="shared" ref="T19:T45" si="7">ROUNDUP((IF(M19=0,0,IF(M19&gt;0.5,(T18+((extender_PELI*N19)/1000))))),2)</f>
        <v>1</v>
      </c>
      <c r="U19" s="93">
        <f t="shared" ref="U19:U45" si="8">IF(M19=0,0,IF(M19&gt;0.5,(nominal_V/((nominal_V/U18)+((extender_R20cPHA*extender_CPD_R_Factor*N19*2)/1000)))))</f>
        <v>245.01171090897441</v>
      </c>
      <c r="V19" s="57"/>
      <c r="X19" s="94">
        <f t="shared" ref="X19:X45" si="9">IF(M19=0,0,IF(M19&gt;0.5,(T19-T18)))</f>
        <v>0.19999999999999996</v>
      </c>
      <c r="Y19" s="94">
        <f t="shared" ref="Y19:Y45" si="10">IF(M19=0,0,IF(M19&gt;0.5,(U19-U18)))</f>
        <v>-65.988289091025592</v>
      </c>
      <c r="Z19" s="94">
        <f t="shared" ref="Z19:Z45" si="11">IF(M19=0,0,IF(M19&gt;0.5,(S19-S18)))</f>
        <v>0.42999999999999994</v>
      </c>
      <c r="AH19" s="53" t="s">
        <v>91</v>
      </c>
      <c r="AI19" s="95">
        <f>AI17*AI18</f>
        <v>1.3312000000000002</v>
      </c>
      <c r="AJ19" s="95">
        <f>AJ17*AJ18</f>
        <v>1.248</v>
      </c>
      <c r="AK19" s="95">
        <f>AK17*AK18</f>
        <v>1.248</v>
      </c>
      <c r="AL19" s="5"/>
      <c r="AM19" s="48"/>
      <c r="AN19" s="49" t="s">
        <v>92</v>
      </c>
      <c r="AO19" s="48"/>
      <c r="AP19" s="50" t="s">
        <v>21</v>
      </c>
      <c r="AQ19" s="51">
        <v>1.5</v>
      </c>
      <c r="AR19" s="51">
        <v>1.4</v>
      </c>
      <c r="AS19" s="51"/>
      <c r="AT19" s="51"/>
      <c r="AU19" s="51">
        <v>1.66</v>
      </c>
      <c r="AV19" s="51"/>
      <c r="AW19" s="51">
        <v>1.44</v>
      </c>
      <c r="AX19" s="51"/>
      <c r="AY19" s="51"/>
      <c r="AZ19" s="52"/>
      <c r="BA19" s="5"/>
      <c r="BB19" s="48"/>
      <c r="BC19" s="49" t="s">
        <v>92</v>
      </c>
      <c r="BD19" s="48"/>
      <c r="BE19" s="50" t="s">
        <v>21</v>
      </c>
      <c r="BF19" s="51">
        <v>1.5</v>
      </c>
      <c r="BG19" s="51">
        <v>1.4</v>
      </c>
      <c r="BH19" s="51"/>
      <c r="BI19" s="51"/>
      <c r="BJ19" s="51">
        <v>1.5</v>
      </c>
      <c r="BK19" s="51"/>
      <c r="BL19" s="51">
        <v>1.44</v>
      </c>
      <c r="BM19" s="51"/>
      <c r="BN19" s="51"/>
      <c r="BO19" s="52"/>
    </row>
    <row r="20" spans="1:67" ht="13.15" customHeight="1">
      <c r="G20" s="55" t="s">
        <v>103</v>
      </c>
      <c r="I20" s="57"/>
      <c r="J20" s="55">
        <f>homerun_Vd1</f>
        <v>12</v>
      </c>
      <c r="K20" s="237" t="s">
        <v>104</v>
      </c>
      <c r="L20" s="244" t="s">
        <v>202</v>
      </c>
      <c r="M20" s="228">
        <v>2</v>
      </c>
      <c r="N20" s="229">
        <v>10</v>
      </c>
      <c r="O20" s="230"/>
      <c r="P20" s="231">
        <f t="shared" si="4"/>
        <v>3.13</v>
      </c>
      <c r="Q20" s="90">
        <f t="shared" si="5"/>
        <v>1.0016</v>
      </c>
      <c r="R20" s="91">
        <f t="shared" si="6"/>
        <v>4.2191999999999998</v>
      </c>
      <c r="S20" s="87">
        <f t="shared" si="3"/>
        <v>1.84</v>
      </c>
      <c r="T20" s="92">
        <f t="shared" si="7"/>
        <v>1.2</v>
      </c>
      <c r="U20" s="93">
        <f t="shared" si="8"/>
        <v>202.12469272299475</v>
      </c>
      <c r="V20" s="57"/>
      <c r="X20" s="94">
        <f t="shared" si="9"/>
        <v>0.19999999999999996</v>
      </c>
      <c r="Y20" s="94">
        <f t="shared" si="10"/>
        <v>-42.887018185979656</v>
      </c>
      <c r="Z20" s="94">
        <f t="shared" si="11"/>
        <v>0.44000000000000017</v>
      </c>
      <c r="AI20" s="71"/>
      <c r="AJ20" s="55"/>
      <c r="AK20" s="55"/>
      <c r="AL20" s="5"/>
      <c r="AM20" s="62"/>
      <c r="AN20" s="63" t="s">
        <v>29</v>
      </c>
      <c r="AO20" s="62"/>
      <c r="AP20" s="64" t="s">
        <v>30</v>
      </c>
      <c r="AQ20" s="65">
        <v>0.75</v>
      </c>
      <c r="AR20" s="65">
        <v>0.7</v>
      </c>
      <c r="AS20" s="65"/>
      <c r="AT20" s="65"/>
      <c r="AU20" s="51">
        <v>1.66</v>
      </c>
      <c r="AV20" s="65"/>
      <c r="AW20" s="65">
        <v>0.92</v>
      </c>
      <c r="AX20" s="65"/>
      <c r="AY20" s="51"/>
      <c r="AZ20" s="66"/>
      <c r="BA20" s="5"/>
      <c r="BB20" s="62"/>
      <c r="BC20" s="63" t="s">
        <v>29</v>
      </c>
      <c r="BD20" s="62"/>
      <c r="BE20" s="64" t="s">
        <v>30</v>
      </c>
      <c r="BF20" s="65">
        <v>0.75</v>
      </c>
      <c r="BG20" s="65">
        <v>0.7</v>
      </c>
      <c r="BH20" s="65"/>
      <c r="BI20" s="65"/>
      <c r="BJ20" s="51">
        <v>0.75</v>
      </c>
      <c r="BK20" s="65"/>
      <c r="BL20" s="65">
        <v>0.72</v>
      </c>
      <c r="BM20" s="65"/>
      <c r="BN20" s="51"/>
      <c r="BO20" s="66"/>
    </row>
    <row r="21" spans="1:67" ht="13.15" customHeight="1">
      <c r="A21" s="30" t="s">
        <v>191</v>
      </c>
      <c r="B21" s="2"/>
      <c r="D21" s="7"/>
      <c r="E21" s="31"/>
      <c r="G21" s="55" t="s">
        <v>105</v>
      </c>
      <c r="I21" s="57"/>
      <c r="J21" s="55">
        <f>homerun_Z1</f>
        <v>4.6100000000000003</v>
      </c>
      <c r="K21" s="238" t="s">
        <v>106</v>
      </c>
      <c r="L21" s="244" t="s">
        <v>202</v>
      </c>
      <c r="M21" s="228">
        <v>3</v>
      </c>
      <c r="N21" s="229">
        <v>9</v>
      </c>
      <c r="O21" s="230">
        <f>((Lum_D*4))/230</f>
        <v>1.0782608695652174</v>
      </c>
      <c r="P21" s="231">
        <f t="shared" si="4"/>
        <v>3.13</v>
      </c>
      <c r="Q21" s="90">
        <f t="shared" si="5"/>
        <v>0.90139999999999998</v>
      </c>
      <c r="R21" s="91">
        <f t="shared" si="6"/>
        <v>5.1205999999999996</v>
      </c>
      <c r="S21" s="87">
        <f t="shared" si="3"/>
        <v>2.23</v>
      </c>
      <c r="T21" s="92">
        <f t="shared" si="7"/>
        <v>1.3800000000000001</v>
      </c>
      <c r="U21" s="93">
        <f t="shared" si="8"/>
        <v>174.6162406759878</v>
      </c>
      <c r="V21" s="57"/>
      <c r="X21" s="94">
        <f t="shared" si="9"/>
        <v>0.18000000000000016</v>
      </c>
      <c r="Y21" s="94">
        <f t="shared" si="10"/>
        <v>-27.508452047006955</v>
      </c>
      <c r="Z21" s="94">
        <f t="shared" si="11"/>
        <v>0.3899999999999999</v>
      </c>
      <c r="AH21" s="42"/>
      <c r="AI21" s="5"/>
      <c r="AJ21" s="5"/>
      <c r="AK21" s="5"/>
      <c r="AL21" s="5"/>
      <c r="AM21" s="48"/>
      <c r="AN21" s="49" t="s">
        <v>29</v>
      </c>
      <c r="AO21" s="48"/>
      <c r="AP21" s="50" t="s">
        <v>36</v>
      </c>
      <c r="AQ21" s="51">
        <v>0.38</v>
      </c>
      <c r="AR21" s="51">
        <v>0.5</v>
      </c>
      <c r="AS21" s="51"/>
      <c r="AT21" s="51"/>
      <c r="AU21" s="51">
        <v>1.66</v>
      </c>
      <c r="AV21" s="51"/>
      <c r="AW21" s="51">
        <v>0.92</v>
      </c>
      <c r="AX21" s="51"/>
      <c r="AY21" s="51"/>
      <c r="AZ21" s="52"/>
      <c r="BA21" s="5"/>
      <c r="BB21" s="48"/>
      <c r="BC21" s="49" t="s">
        <v>29</v>
      </c>
      <c r="BD21" s="48"/>
      <c r="BE21" s="50" t="s">
        <v>36</v>
      </c>
      <c r="BF21" s="51">
        <v>0.38</v>
      </c>
      <c r="BG21" s="51">
        <v>0.5</v>
      </c>
      <c r="BH21" s="51"/>
      <c r="BI21" s="51"/>
      <c r="BJ21" s="51">
        <v>0.37</v>
      </c>
      <c r="BK21" s="51"/>
      <c r="BL21" s="51">
        <v>0.51</v>
      </c>
      <c r="BM21" s="51"/>
      <c r="BN21" s="51"/>
      <c r="BO21" s="52"/>
    </row>
    <row r="22" spans="1:67" ht="13.15" customHeight="1" thickBot="1">
      <c r="A22" s="55" t="s">
        <v>43</v>
      </c>
      <c r="D22" s="221">
        <f>Source_Nominal_V</f>
        <v>230</v>
      </c>
      <c r="E22" s="56" t="s">
        <v>44</v>
      </c>
      <c r="G22" s="55" t="s">
        <v>108</v>
      </c>
      <c r="I22" s="57"/>
      <c r="J22" s="55">
        <f>ROUNDUP((Homerun_ZinstPH+Homerun_ZinstCPC),2)</f>
        <v>12.28</v>
      </c>
      <c r="K22" s="238" t="s">
        <v>106</v>
      </c>
      <c r="L22" s="244" t="s">
        <v>202</v>
      </c>
      <c r="M22" s="228">
        <v>4</v>
      </c>
      <c r="N22" s="229">
        <v>3</v>
      </c>
      <c r="O22" s="230"/>
      <c r="P22" s="231">
        <f t="shared" si="4"/>
        <v>2.0499999999999998</v>
      </c>
      <c r="Q22" s="90">
        <f t="shared" si="5"/>
        <v>0.1968</v>
      </c>
      <c r="R22" s="91">
        <f t="shared" si="6"/>
        <v>5.3173999999999992</v>
      </c>
      <c r="S22" s="87">
        <f t="shared" si="3"/>
        <v>2.3199999999999998</v>
      </c>
      <c r="T22" s="92">
        <f t="shared" si="7"/>
        <v>1.44</v>
      </c>
      <c r="U22" s="93">
        <f t="shared" si="8"/>
        <v>167.03846048124527</v>
      </c>
      <c r="V22" s="57"/>
      <c r="X22" s="94">
        <f t="shared" si="9"/>
        <v>5.9999999999999831E-2</v>
      </c>
      <c r="Y22" s="94">
        <f t="shared" si="10"/>
        <v>-7.5777801947425303</v>
      </c>
      <c r="Z22" s="94">
        <f t="shared" si="11"/>
        <v>8.9999999999999858E-2</v>
      </c>
      <c r="AH22" s="97" t="s">
        <v>94</v>
      </c>
      <c r="AI22" s="54">
        <f>IF(homerun_ins="LSFZH",70,IF(homerun_ins="XL-LSFZH",90,"ERR"))</f>
        <v>90</v>
      </c>
      <c r="AJ22" s="54">
        <f>IF(extender_ins="LSFZH",70,IF(extender_ins="XL-LSFZH",90,"ERR"))</f>
        <v>70</v>
      </c>
      <c r="AK22" s="54">
        <f>IF(extender_ins="LSFZH",70,IF(extender_ins="XL-LSFZH",90,"ERR"))</f>
        <v>70</v>
      </c>
      <c r="AL22" s="56" t="s">
        <v>95</v>
      </c>
      <c r="AM22" s="98"/>
      <c r="AN22" s="98"/>
      <c r="AO22" s="98"/>
      <c r="AP22" s="99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5"/>
      <c r="BB22" s="98"/>
      <c r="BC22" s="98"/>
      <c r="BD22" s="98"/>
      <c r="BE22" s="99"/>
      <c r="BF22" s="100"/>
      <c r="BG22" s="100"/>
      <c r="BH22" s="100"/>
      <c r="BI22" s="100"/>
      <c r="BJ22" s="100"/>
      <c r="BK22" s="100"/>
      <c r="BL22" s="100"/>
      <c r="BM22" s="100"/>
      <c r="BN22" s="100"/>
      <c r="BO22" s="101"/>
    </row>
    <row r="23" spans="1:67" ht="13.15" customHeight="1">
      <c r="A23" s="55" t="s">
        <v>50</v>
      </c>
      <c r="B23" s="67"/>
      <c r="D23" s="222">
        <v>59</v>
      </c>
      <c r="E23" s="56" t="s">
        <v>51</v>
      </c>
      <c r="G23" s="55" t="s">
        <v>64</v>
      </c>
      <c r="I23" s="57"/>
      <c r="J23" s="110">
        <f>AQ58</f>
        <v>311</v>
      </c>
      <c r="K23" s="237" t="s">
        <v>56</v>
      </c>
      <c r="L23" s="244" t="s">
        <v>202</v>
      </c>
      <c r="M23" s="228">
        <v>5</v>
      </c>
      <c r="N23" s="229">
        <v>3</v>
      </c>
      <c r="O23" s="230">
        <f>((Lum_F*4))/230</f>
        <v>0.90434782608695652</v>
      </c>
      <c r="P23" s="231">
        <f t="shared" si="4"/>
        <v>2.0499999999999998</v>
      </c>
      <c r="Q23" s="90">
        <f t="shared" si="5"/>
        <v>0.1968</v>
      </c>
      <c r="R23" s="91">
        <f t="shared" si="6"/>
        <v>5.5141999999999989</v>
      </c>
      <c r="S23" s="87">
        <f t="shared" si="3"/>
        <v>2.4</v>
      </c>
      <c r="T23" s="92">
        <f t="shared" si="7"/>
        <v>1.5</v>
      </c>
      <c r="U23" s="93">
        <f t="shared" si="8"/>
        <v>160.09102756579762</v>
      </c>
      <c r="V23" s="57"/>
      <c r="X23" s="94">
        <f t="shared" si="9"/>
        <v>6.0000000000000053E-2</v>
      </c>
      <c r="Y23" s="94">
        <f t="shared" si="10"/>
        <v>-6.9474329154476493</v>
      </c>
      <c r="Z23" s="94">
        <f t="shared" si="11"/>
        <v>8.0000000000000071E-2</v>
      </c>
      <c r="AH23" s="97" t="s">
        <v>98</v>
      </c>
      <c r="AI23" s="54">
        <f>IF(homerun_ins="LSFZH",160,IF(homerun_ins="XL-LSFZH",250,"ERR"))</f>
        <v>250</v>
      </c>
      <c r="AJ23" s="54">
        <f>IF(extender_ins="LSFZH",160,IF(extender_ins="XL-LSFZH",250,"ERR"))</f>
        <v>160</v>
      </c>
      <c r="AK23" s="54">
        <f>IF(extender_ins="LSFZH",160,IF(extender_ins="XL-LSFZH",250,"ERR"))</f>
        <v>160</v>
      </c>
      <c r="AL23" s="56" t="s">
        <v>95</v>
      </c>
      <c r="BA23" s="5"/>
      <c r="BB23" s="5"/>
    </row>
    <row r="24" spans="1:67" ht="13.15" customHeight="1">
      <c r="A24" s="69" t="s">
        <v>54</v>
      </c>
      <c r="B24" s="69"/>
      <c r="D24" s="70">
        <f ca="1">(Max_VD_percent*100)-VD_Source</f>
        <v>1.85</v>
      </c>
      <c r="E24" s="58" t="s">
        <v>46</v>
      </c>
      <c r="G24" s="55" t="s">
        <v>110</v>
      </c>
      <c r="I24" s="57"/>
      <c r="J24" s="110">
        <f>AQ76</f>
        <v>500</v>
      </c>
      <c r="K24" s="237"/>
      <c r="L24" s="244" t="s">
        <v>202</v>
      </c>
      <c r="M24" s="228">
        <v>6</v>
      </c>
      <c r="N24" s="229">
        <v>2</v>
      </c>
      <c r="O24" s="230"/>
      <c r="P24" s="231">
        <f t="shared" si="4"/>
        <v>1.1499999999999999</v>
      </c>
      <c r="Q24" s="90">
        <f t="shared" si="5"/>
        <v>7.3599999999999999E-2</v>
      </c>
      <c r="R24" s="91">
        <f t="shared" si="6"/>
        <v>5.5877999999999988</v>
      </c>
      <c r="S24" s="87">
        <f t="shared" si="3"/>
        <v>2.4299999999999997</v>
      </c>
      <c r="T24" s="92">
        <f t="shared" si="7"/>
        <v>1.54</v>
      </c>
      <c r="U24" s="93">
        <f t="shared" si="8"/>
        <v>155.77180603471473</v>
      </c>
      <c r="V24" s="57"/>
      <c r="X24" s="94">
        <f t="shared" si="9"/>
        <v>4.0000000000000036E-2</v>
      </c>
      <c r="Y24" s="94">
        <f t="shared" si="10"/>
        <v>-4.3192215310828885</v>
      </c>
      <c r="Z24" s="94">
        <f t="shared" si="11"/>
        <v>2.9999999999999805E-2</v>
      </c>
      <c r="AM24" s="19"/>
      <c r="AN24" s="19"/>
      <c r="AO24" s="19"/>
      <c r="AP24" s="17"/>
      <c r="BA24" s="5"/>
      <c r="BB24" s="5"/>
      <c r="BC24" s="71"/>
    </row>
    <row r="25" spans="1:67" ht="13.15" customHeight="1">
      <c r="A25" s="55" t="s">
        <v>60</v>
      </c>
      <c r="D25" s="217">
        <f>IF(C8="Power",0.4,IF(C8="Lighting",0.4,"err"))</f>
        <v>0.4</v>
      </c>
      <c r="E25" s="56" t="s">
        <v>61</v>
      </c>
      <c r="G25" s="55" t="s">
        <v>111</v>
      </c>
      <c r="I25" s="57"/>
      <c r="J25" s="110">
        <f>143^2*homerun_csa^2</f>
        <v>327184</v>
      </c>
      <c r="K25" s="237"/>
      <c r="L25" s="244" t="s">
        <v>202</v>
      </c>
      <c r="M25" s="228">
        <v>7</v>
      </c>
      <c r="N25" s="229">
        <v>3</v>
      </c>
      <c r="O25" s="230">
        <f>((Lum_K*1))/230</f>
        <v>0.23478260869565218</v>
      </c>
      <c r="P25" s="231">
        <f t="shared" si="4"/>
        <v>1.1499999999999999</v>
      </c>
      <c r="Q25" s="90">
        <f t="shared" si="5"/>
        <v>0.1104</v>
      </c>
      <c r="R25" s="91">
        <f t="shared" si="6"/>
        <v>5.698199999999999</v>
      </c>
      <c r="S25" s="87">
        <f t="shared" si="3"/>
        <v>2.48</v>
      </c>
      <c r="T25" s="92">
        <f t="shared" si="7"/>
        <v>1.6</v>
      </c>
      <c r="U25" s="93">
        <f t="shared" si="8"/>
        <v>149.71297036855776</v>
      </c>
      <c r="V25" s="57"/>
      <c r="X25" s="94">
        <f t="shared" si="9"/>
        <v>6.0000000000000053E-2</v>
      </c>
      <c r="Y25" s="94">
        <f t="shared" si="10"/>
        <v>-6.0588356661569662</v>
      </c>
      <c r="Z25" s="94">
        <f t="shared" si="11"/>
        <v>5.0000000000000266E-2</v>
      </c>
      <c r="AH25" s="53" t="s">
        <v>102</v>
      </c>
      <c r="AI25" s="106">
        <f>IF(ccts_mdb=2,0.8,IF(ccts_mdb=3,0.7,IF(ccts_mdb=4,0.65,IF(ccts_mdb=5,0.6,IF(ccts_mdb=6,0.57,IF(ccts_mdb=7,0.54,IF(ccts_mdb=8,0.52,IF(ccts_mdb=9,0.5,"ERR"))))))))</f>
        <v>0.56999999999999995</v>
      </c>
      <c r="AJ25" s="106">
        <f>IF(ccts_extender=1,1,IF(ccts_extender=2,0.86,IF(ccts_extender=3,0.81,IF(ccts_extender=4,0.77,IF(ccts_extender=5,0.75,IF(ccts_extender=6,0.74,IF(ccts_extender=7,0.73,IF(ccts_extender=8,0.73,0))))))))</f>
        <v>0</v>
      </c>
      <c r="AK25" s="106">
        <f>IF(ccts_SD=1,1,IF(ccts_SD=2,0.86,IF(ccts_SD=3,0.81,IF(ccts_SD=4,0.77,IF(ccts_SD=5,0.75,IF(ccts_SD=6,0.74,IF(ccts_SD=7,0.73,IF(ccts_SD=8,0.73,0))))))))</f>
        <v>1</v>
      </c>
      <c r="AM25" s="19"/>
      <c r="AN25" s="19"/>
      <c r="AO25" s="19"/>
      <c r="AP25" s="107"/>
      <c r="BA25" s="5"/>
      <c r="BB25" s="5"/>
    </row>
    <row r="26" spans="1:67" ht="13.15" customHeight="1">
      <c r="G26" s="54" t="s">
        <v>113</v>
      </c>
      <c r="I26" s="57"/>
      <c r="J26" s="113" t="str">
        <f>AI41</f>
        <v>ü</v>
      </c>
      <c r="K26" s="237"/>
      <c r="L26" s="244" t="s">
        <v>202</v>
      </c>
      <c r="M26" s="228">
        <v>8</v>
      </c>
      <c r="N26" s="229">
        <v>3</v>
      </c>
      <c r="O26" s="230">
        <f>((Lum_K*1))/230</f>
        <v>0.23478260869565218</v>
      </c>
      <c r="P26" s="231">
        <f t="shared" si="4"/>
        <v>0.92</v>
      </c>
      <c r="Q26" s="90">
        <f t="shared" si="5"/>
        <v>8.8300000000000003E-2</v>
      </c>
      <c r="R26" s="91">
        <f t="shared" si="6"/>
        <v>5.7864999999999993</v>
      </c>
      <c r="S26" s="87">
        <f t="shared" si="3"/>
        <v>2.5199999999999996</v>
      </c>
      <c r="T26" s="92">
        <f t="shared" si="7"/>
        <v>1.66</v>
      </c>
      <c r="U26" s="93">
        <f t="shared" si="8"/>
        <v>144.10781256270798</v>
      </c>
      <c r="V26" s="57"/>
      <c r="X26" s="94">
        <f t="shared" si="9"/>
        <v>5.9999999999999831E-2</v>
      </c>
      <c r="Y26" s="94">
        <f t="shared" si="10"/>
        <v>-5.6051578058497853</v>
      </c>
      <c r="Z26" s="94">
        <f t="shared" si="11"/>
        <v>3.9999999999999591E-2</v>
      </c>
      <c r="AJ26" s="11">
        <f>IF(ccts_extender=9,0.72,IF(ccts_extender=10,0.71,IF(ccts_extender=11,0.7,IF(ccts_extender=12,0.7,IF(ccts_extender&gt;12,0.7,0)))))</f>
        <v>0.71</v>
      </c>
      <c r="AK26" s="11">
        <f>IF(ccts_extender=9,0.72,IF(ccts_extender=10,0.71,IF(ccts_extender=11,0.7,IF(ccts_extender=12,0.7,IF(ccts_extender&gt;12,0.7,0)))))</f>
        <v>0.71</v>
      </c>
      <c r="AL26" s="56"/>
      <c r="AM26" s="18"/>
      <c r="AN26" s="18"/>
      <c r="AO26" s="18"/>
      <c r="AP26" s="108"/>
      <c r="AQ26" s="109"/>
      <c r="BA26" s="5"/>
      <c r="BB26" s="5"/>
    </row>
    <row r="27" spans="1:67" ht="13.15" customHeight="1">
      <c r="G27" s="7"/>
      <c r="I27" s="7"/>
      <c r="J27" s="7"/>
      <c r="K27" s="239"/>
      <c r="L27" s="244" t="s">
        <v>202</v>
      </c>
      <c r="M27" s="228">
        <v>9</v>
      </c>
      <c r="N27" s="229">
        <v>3</v>
      </c>
      <c r="O27" s="230">
        <f>((Lum_K*1))/230</f>
        <v>0.23478260869565218</v>
      </c>
      <c r="P27" s="231">
        <f t="shared" si="4"/>
        <v>0.69</v>
      </c>
      <c r="Q27" s="90">
        <f t="shared" si="5"/>
        <v>6.6199999999999995E-2</v>
      </c>
      <c r="R27" s="91">
        <f t="shared" si="6"/>
        <v>5.8526999999999996</v>
      </c>
      <c r="S27" s="87">
        <f t="shared" si="3"/>
        <v>2.5499999999999998</v>
      </c>
      <c r="T27" s="92">
        <f t="shared" si="7"/>
        <v>1.72</v>
      </c>
      <c r="U27" s="93">
        <f t="shared" si="8"/>
        <v>138.90721531135057</v>
      </c>
      <c r="V27" s="57"/>
      <c r="X27" s="94">
        <f t="shared" si="9"/>
        <v>6.0000000000000053E-2</v>
      </c>
      <c r="Y27" s="94">
        <f t="shared" si="10"/>
        <v>-5.2005972513574079</v>
      </c>
      <c r="Z27" s="94">
        <f t="shared" si="11"/>
        <v>3.0000000000000249E-2</v>
      </c>
      <c r="AH27" s="53" t="s">
        <v>107</v>
      </c>
      <c r="AI27" s="106">
        <f>mdb_Cg</f>
        <v>0.56999999999999995</v>
      </c>
      <c r="AJ27" s="106">
        <f>SUM(AJ25:AJ26)</f>
        <v>0.71</v>
      </c>
      <c r="AK27" s="106">
        <f>SUM(AK25:AK26)</f>
        <v>1.71</v>
      </c>
      <c r="AL27" s="56"/>
      <c r="AM27" s="18"/>
      <c r="AN27" s="18"/>
      <c r="AO27" s="18"/>
      <c r="AP27" s="108"/>
      <c r="AQ27" s="109"/>
      <c r="BA27" s="5"/>
      <c r="BB27" s="5"/>
    </row>
    <row r="28" spans="1:67" ht="13.15" customHeight="1">
      <c r="A28" s="30" t="s">
        <v>67</v>
      </c>
      <c r="D28" s="55"/>
      <c r="E28" s="56"/>
      <c r="K28" s="240"/>
      <c r="L28" s="244" t="s">
        <v>202</v>
      </c>
      <c r="M28" s="228">
        <v>10</v>
      </c>
      <c r="N28" s="229">
        <v>3</v>
      </c>
      <c r="O28" s="230">
        <f>((Lum_K*1))/230</f>
        <v>0.23478260869565218</v>
      </c>
      <c r="P28" s="231">
        <f t="shared" si="4"/>
        <v>0.46</v>
      </c>
      <c r="Q28" s="90">
        <f t="shared" si="5"/>
        <v>4.4200000000000003E-2</v>
      </c>
      <c r="R28" s="91">
        <f t="shared" si="6"/>
        <v>5.8968999999999996</v>
      </c>
      <c r="S28" s="87">
        <f t="shared" si="3"/>
        <v>2.57</v>
      </c>
      <c r="T28" s="92">
        <f t="shared" si="7"/>
        <v>1.78</v>
      </c>
      <c r="U28" s="93">
        <f t="shared" si="8"/>
        <v>134.06890457559541</v>
      </c>
      <c r="V28" s="57"/>
      <c r="X28" s="94">
        <f t="shared" si="9"/>
        <v>6.0000000000000053E-2</v>
      </c>
      <c r="Y28" s="94">
        <f t="shared" si="10"/>
        <v>-4.838310735755158</v>
      </c>
      <c r="Z28" s="94">
        <f t="shared" si="11"/>
        <v>2.0000000000000018E-2</v>
      </c>
      <c r="AI28" s="55"/>
      <c r="AJ28" s="5"/>
      <c r="AK28" s="5"/>
      <c r="AL28" s="5"/>
      <c r="AM28" s="18"/>
      <c r="AN28" s="18"/>
      <c r="AO28" s="18"/>
      <c r="AP28" s="108"/>
      <c r="AQ28" s="109"/>
    </row>
    <row r="29" spans="1:67" ht="13.15" customHeight="1">
      <c r="A29" s="55" t="s">
        <v>75</v>
      </c>
      <c r="B29" s="30"/>
      <c r="D29" s="156">
        <v>10</v>
      </c>
      <c r="E29" s="55" t="s">
        <v>56</v>
      </c>
      <c r="G29" s="96" t="s">
        <v>200</v>
      </c>
      <c r="I29" s="57"/>
      <c r="J29" s="96"/>
      <c r="K29" s="237"/>
      <c r="L29" s="244" t="s">
        <v>202</v>
      </c>
      <c r="M29" s="228">
        <v>11</v>
      </c>
      <c r="N29" s="229">
        <v>3</v>
      </c>
      <c r="O29" s="230"/>
      <c r="P29" s="231">
        <f t="shared" si="4"/>
        <v>0.23</v>
      </c>
      <c r="Q29" s="90">
        <f t="shared" si="5"/>
        <v>2.2100000000000002E-2</v>
      </c>
      <c r="R29" s="91">
        <f t="shared" si="6"/>
        <v>5.9189999999999996</v>
      </c>
      <c r="S29" s="87">
        <f t="shared" si="3"/>
        <v>2.5799999999999996</v>
      </c>
      <c r="T29" s="92">
        <f t="shared" si="7"/>
        <v>1.84</v>
      </c>
      <c r="U29" s="93">
        <f t="shared" si="8"/>
        <v>129.55629790061295</v>
      </c>
      <c r="V29" s="57"/>
      <c r="X29" s="94">
        <f t="shared" si="9"/>
        <v>6.0000000000000053E-2</v>
      </c>
      <c r="Y29" s="94">
        <f t="shared" si="10"/>
        <v>-4.5126066749824645</v>
      </c>
      <c r="Z29" s="94">
        <f t="shared" si="11"/>
        <v>9.9999999999997868E-3</v>
      </c>
      <c r="AH29" s="53" t="s">
        <v>109</v>
      </c>
      <c r="AI29" s="106">
        <f>In/Homerun_Cg</f>
        <v>17.543859649122808</v>
      </c>
      <c r="AJ29" s="106">
        <f>In/extender_Cg</f>
        <v>14.084507042253522</v>
      </c>
      <c r="AK29" s="106">
        <f>In/SD_Cg</f>
        <v>5.8479532163742691</v>
      </c>
      <c r="AL29" s="5"/>
      <c r="AM29" s="108"/>
      <c r="AN29" s="108"/>
      <c r="AO29" s="108"/>
      <c r="AP29" s="108"/>
      <c r="AQ29" s="32">
        <f t="shared" ref="AQ29:AY29" si="12">IF(AND(In=6,cpd_type="B"),AQ4,IF(AND(In=6,cpd_type="C"),AQ5,IF(AND(In=6,cpd_type="D"),AQ6,0)))</f>
        <v>0</v>
      </c>
      <c r="AR29" s="32">
        <f t="shared" si="12"/>
        <v>0</v>
      </c>
      <c r="AS29" s="32">
        <f t="shared" si="12"/>
        <v>0</v>
      </c>
      <c r="AT29" s="32">
        <f t="shared" si="12"/>
        <v>0</v>
      </c>
      <c r="AU29" s="32">
        <f t="shared" si="12"/>
        <v>0</v>
      </c>
      <c r="AV29" s="32">
        <f t="shared" si="12"/>
        <v>0</v>
      </c>
      <c r="AW29" s="32">
        <f t="shared" si="12"/>
        <v>0</v>
      </c>
      <c r="AX29" s="32">
        <f t="shared" si="12"/>
        <v>0</v>
      </c>
      <c r="AY29" s="32">
        <f t="shared" si="12"/>
        <v>0</v>
      </c>
    </row>
    <row r="30" spans="1:67" ht="13.15" customHeight="1">
      <c r="A30" s="55" t="s">
        <v>84</v>
      </c>
      <c r="B30" s="55"/>
      <c r="D30" s="157" t="s">
        <v>30</v>
      </c>
      <c r="E30" s="56"/>
      <c r="G30" s="69" t="s">
        <v>119</v>
      </c>
      <c r="I30" s="57"/>
      <c r="J30" s="153">
        <v>10</v>
      </c>
      <c r="K30" s="237"/>
      <c r="L30" s="244" t="s">
        <v>199</v>
      </c>
      <c r="M30" s="228">
        <v>12</v>
      </c>
      <c r="N30" s="229">
        <v>1</v>
      </c>
      <c r="O30" s="230">
        <f>((Lum_K*1))/230</f>
        <v>0.23478260869565218</v>
      </c>
      <c r="P30" s="231">
        <f t="shared" si="4"/>
        <v>0.23</v>
      </c>
      <c r="Q30" s="90">
        <f t="shared" si="5"/>
        <v>7.4000000000000003E-3</v>
      </c>
      <c r="R30" s="91">
        <f t="shared" si="6"/>
        <v>5.9263999999999992</v>
      </c>
      <c r="S30" s="87">
        <f t="shared" si="3"/>
        <v>2.5799999999999996</v>
      </c>
      <c r="T30" s="92">
        <f t="shared" si="7"/>
        <v>1.86</v>
      </c>
      <c r="U30" s="93">
        <f t="shared" si="8"/>
        <v>128.11885299606598</v>
      </c>
      <c r="V30" s="57"/>
      <c r="X30" s="94">
        <f t="shared" si="9"/>
        <v>2.0000000000000018E-2</v>
      </c>
      <c r="Y30" s="94">
        <f t="shared" si="10"/>
        <v>-1.4374449045469646</v>
      </c>
      <c r="Z30" s="94">
        <f t="shared" si="11"/>
        <v>0</v>
      </c>
      <c r="AL30" s="5"/>
      <c r="AQ30" s="111">
        <f>IF(AND(In=10,cpd_type="B"),AQ7,IF(AND(In=10,cpd_type="C"),AQ8,IF(AND(In=10,cpd_type="D"),AQ9,)))</f>
        <v>2.4</v>
      </c>
      <c r="AR30" s="111">
        <f t="shared" ref="AR30:AY30" si="13">IF(AND(In=10,cpd_type="B"),AR7,IF(AND(In=10,cpd_type="C"),AR8,IF(AND(In=10,cpd_type="D"),AR9,0)))</f>
        <v>2.2000000000000002</v>
      </c>
      <c r="AS30" s="111">
        <f t="shared" si="13"/>
        <v>0</v>
      </c>
      <c r="AT30" s="111">
        <f t="shared" si="13"/>
        <v>0</v>
      </c>
      <c r="AU30" s="111">
        <f t="shared" si="13"/>
        <v>5.33</v>
      </c>
      <c r="AV30" s="111">
        <f t="shared" si="13"/>
        <v>0</v>
      </c>
      <c r="AW30" s="111">
        <f t="shared" si="13"/>
        <v>2.95</v>
      </c>
      <c r="AX30" s="111">
        <f t="shared" si="13"/>
        <v>0</v>
      </c>
      <c r="AY30" s="111">
        <f t="shared" si="13"/>
        <v>0</v>
      </c>
      <c r="BC30" s="34"/>
      <c r="BE30" s="102"/>
      <c r="BF30" s="111">
        <f>IF(AND(In=10,cpd_type="B"),BF7,IF(AND(In=10,cpd_type="C"),BF8,IF(AND(In=10,cpd_type="D"),BF9,)))</f>
        <v>2.4</v>
      </c>
      <c r="BG30" s="111">
        <f t="shared" ref="BG30:BN30" si="14">IF(AND(In=10,cpd_type="B"),BG7,IF(AND(In=10,cpd_type="C"),BG8,IF(AND(In=10,cpd_type="D"),BG9,0)))</f>
        <v>2.2000000000000002</v>
      </c>
      <c r="BH30" s="111">
        <f t="shared" si="14"/>
        <v>0</v>
      </c>
      <c r="BI30" s="111">
        <f t="shared" si="14"/>
        <v>0</v>
      </c>
      <c r="BJ30" s="111">
        <f t="shared" si="14"/>
        <v>2.4</v>
      </c>
      <c r="BK30" s="111">
        <f t="shared" si="14"/>
        <v>0</v>
      </c>
      <c r="BL30" s="111">
        <f t="shared" si="14"/>
        <v>2.2999999999999998</v>
      </c>
      <c r="BM30" s="111">
        <f t="shared" si="14"/>
        <v>0</v>
      </c>
      <c r="BN30" s="111">
        <f t="shared" si="14"/>
        <v>0</v>
      </c>
    </row>
    <row r="31" spans="1:67" ht="13.15" customHeight="1">
      <c r="A31" s="55" t="s">
        <v>88</v>
      </c>
      <c r="B31" s="55"/>
      <c r="D31" s="158" t="s">
        <v>5</v>
      </c>
      <c r="E31" s="56"/>
      <c r="G31" s="55" t="s">
        <v>96</v>
      </c>
      <c r="I31" s="57"/>
      <c r="J31" s="154">
        <f>IF(Service="Lighting",2.5,IF(Service="Power",4,"Error"))</f>
        <v>2.5</v>
      </c>
      <c r="K31" s="241" t="s">
        <v>97</v>
      </c>
      <c r="L31" s="244"/>
      <c r="M31" s="228"/>
      <c r="N31" s="229"/>
      <c r="O31" s="230"/>
      <c r="P31" s="231">
        <f t="shared" si="4"/>
        <v>0</v>
      </c>
      <c r="Q31" s="90">
        <f t="shared" si="5"/>
        <v>0</v>
      </c>
      <c r="R31" s="91">
        <f t="shared" si="6"/>
        <v>0</v>
      </c>
      <c r="S31" s="87">
        <f t="shared" si="3"/>
        <v>0</v>
      </c>
      <c r="T31" s="92">
        <f t="shared" si="7"/>
        <v>0</v>
      </c>
      <c r="U31" s="93">
        <f t="shared" si="8"/>
        <v>0</v>
      </c>
      <c r="V31" s="57"/>
      <c r="X31" s="94">
        <f t="shared" si="9"/>
        <v>0</v>
      </c>
      <c r="Y31" s="94">
        <f t="shared" si="10"/>
        <v>0</v>
      </c>
      <c r="Z31" s="94">
        <f t="shared" si="11"/>
        <v>0</v>
      </c>
      <c r="AH31" s="53" t="s">
        <v>112</v>
      </c>
      <c r="AI31" s="106" t="str">
        <f>CPD</f>
        <v>ABB</v>
      </c>
      <c r="AL31" s="5"/>
      <c r="AM31" s="112"/>
      <c r="AN31" s="112"/>
      <c r="AO31" s="112"/>
      <c r="AP31" s="112"/>
      <c r="AQ31" s="111">
        <f t="shared" ref="AQ31:AY31" si="15">IF(AND(In=16,cpd_type="B"),AQ10,IF(AND(In=16,cpd_type="C"),AQ11,IF(AND(In=16,cpd_type="D"),AQ12,0)))</f>
        <v>0</v>
      </c>
      <c r="AR31" s="111">
        <f t="shared" si="15"/>
        <v>0</v>
      </c>
      <c r="AS31" s="111">
        <f t="shared" si="15"/>
        <v>0</v>
      </c>
      <c r="AT31" s="111">
        <f t="shared" si="15"/>
        <v>0</v>
      </c>
      <c r="AU31" s="111">
        <f t="shared" si="15"/>
        <v>0</v>
      </c>
      <c r="AV31" s="111">
        <f t="shared" si="15"/>
        <v>0</v>
      </c>
      <c r="AW31" s="111">
        <f t="shared" si="15"/>
        <v>0</v>
      </c>
      <c r="AX31" s="111">
        <f t="shared" si="15"/>
        <v>0</v>
      </c>
      <c r="AY31" s="111">
        <f t="shared" si="15"/>
        <v>0</v>
      </c>
      <c r="BC31" s="34"/>
      <c r="BE31" s="112"/>
      <c r="BF31" s="111">
        <f t="shared" ref="BF31:BN31" si="16">IF(AND(In=16,cpd_type="B"),BF10,IF(AND(In=16,cpd_type="C"),BF11,IF(AND(In=16,cpd_type="D"),BF12,0)))</f>
        <v>0</v>
      </c>
      <c r="BG31" s="111">
        <f t="shared" si="16"/>
        <v>0</v>
      </c>
      <c r="BH31" s="111">
        <f t="shared" si="16"/>
        <v>0</v>
      </c>
      <c r="BI31" s="111">
        <f t="shared" si="16"/>
        <v>0</v>
      </c>
      <c r="BJ31" s="111">
        <f t="shared" si="16"/>
        <v>0</v>
      </c>
      <c r="BK31" s="111">
        <f t="shared" si="16"/>
        <v>0</v>
      </c>
      <c r="BL31" s="111">
        <f t="shared" si="16"/>
        <v>0</v>
      </c>
      <c r="BM31" s="111">
        <f t="shared" si="16"/>
        <v>0</v>
      </c>
      <c r="BN31" s="111">
        <f t="shared" si="16"/>
        <v>0</v>
      </c>
    </row>
    <row r="32" spans="1:67" ht="13.15" customHeight="1">
      <c r="A32" s="55" t="s">
        <v>90</v>
      </c>
      <c r="B32" s="55"/>
      <c r="D32" s="70">
        <f>Zs</f>
        <v>2.2000000000000002</v>
      </c>
      <c r="E32" s="72" t="s">
        <v>63</v>
      </c>
      <c r="G32" s="55" t="s">
        <v>99</v>
      </c>
      <c r="I32" s="57"/>
      <c r="J32" s="155" t="str">
        <f>IF(Service="Lighting","LSFZH",IF(Service="Power","XL-LSFZH","Error"))</f>
        <v>LSFZH</v>
      </c>
      <c r="K32" s="237"/>
      <c r="L32" s="244"/>
      <c r="M32" s="228"/>
      <c r="N32" s="229"/>
      <c r="O32" s="230"/>
      <c r="P32" s="231">
        <f t="shared" si="4"/>
        <v>0</v>
      </c>
      <c r="Q32" s="90">
        <f t="shared" si="5"/>
        <v>0</v>
      </c>
      <c r="R32" s="91">
        <f t="shared" si="6"/>
        <v>0</v>
      </c>
      <c r="S32" s="87">
        <f t="shared" si="3"/>
        <v>0</v>
      </c>
      <c r="T32" s="92">
        <f t="shared" si="7"/>
        <v>0</v>
      </c>
      <c r="U32" s="93">
        <f t="shared" si="8"/>
        <v>0</v>
      </c>
      <c r="V32" s="57"/>
      <c r="X32" s="94">
        <f t="shared" si="9"/>
        <v>0</v>
      </c>
      <c r="Y32" s="94">
        <f t="shared" si="10"/>
        <v>0</v>
      </c>
      <c r="Z32" s="94">
        <f t="shared" si="11"/>
        <v>0</v>
      </c>
      <c r="AH32" s="53" t="s">
        <v>114</v>
      </c>
      <c r="AI32" s="106">
        <f>IF(CPD="BS7671",AQ35,IF(CPD="ABB",AR35,IF(CPD="Crabtree",AS35,IF(CPD="Dorman",AT35,IF(CPD="Hager",AU35,IF(CPD="MEM",AV35,IF(CPD="Schneider",AW35,IF(CPD="Sq D",AY35,"ERR"))))))))</f>
        <v>2.2000000000000002</v>
      </c>
      <c r="AL32" s="5"/>
      <c r="AQ32" s="111">
        <f>IF(AND(In=20,cpd_type="B"),AQ13,IF(AND(In=20,cpd_type="C"),AQ14,IF(AND(In=20,cpd_type="D"),AQ15,0)))</f>
        <v>0</v>
      </c>
      <c r="AR32" s="111">
        <f t="shared" ref="AR32:AY32" si="17">IF(AND(In=20,cpd_type="B"),AR13,IF(AND(In=20,cpd_type="C"),AR14,IF(AND(In=20,cpd_type="D"),AR15,IF(AND(In=25,cpd_type="D"),AR18,IF(AND(In=25,cpd_type="D"),AR21,0)))))</f>
        <v>0</v>
      </c>
      <c r="AS32" s="111">
        <f t="shared" si="17"/>
        <v>0</v>
      </c>
      <c r="AT32" s="111">
        <f t="shared" si="17"/>
        <v>0</v>
      </c>
      <c r="AU32" s="111">
        <f t="shared" si="17"/>
        <v>0</v>
      </c>
      <c r="AV32" s="111">
        <f t="shared" si="17"/>
        <v>0</v>
      </c>
      <c r="AW32" s="111">
        <f t="shared" si="17"/>
        <v>0</v>
      </c>
      <c r="AX32" s="111">
        <f t="shared" si="17"/>
        <v>0</v>
      </c>
      <c r="AY32" s="111">
        <f t="shared" si="17"/>
        <v>0</v>
      </c>
      <c r="BE32" s="102"/>
      <c r="BF32" s="111">
        <f>IF(AND(In=20,cpd_type="B"),BF13,IF(AND(In=20,cpd_type="C"),BF14,IF(AND(In=20,cpd_type="D"),BF15,0)))</f>
        <v>0</v>
      </c>
      <c r="BG32" s="111">
        <f t="shared" ref="BG32:BN32" si="18">IF(AND(In=20,cpd_type="B"),BG13,IF(AND(In=20,cpd_type="C"),BG14,IF(AND(In=20,cpd_type="D"),BG15,IF(AND(In=25,cpd_type="D"),BG18,IF(AND(In=25,cpd_type="D"),BG21,0)))))</f>
        <v>0</v>
      </c>
      <c r="BH32" s="111">
        <f t="shared" si="18"/>
        <v>0</v>
      </c>
      <c r="BI32" s="111">
        <f t="shared" si="18"/>
        <v>0</v>
      </c>
      <c r="BJ32" s="111">
        <f t="shared" si="18"/>
        <v>0</v>
      </c>
      <c r="BK32" s="111">
        <f t="shared" si="18"/>
        <v>0</v>
      </c>
      <c r="BL32" s="111">
        <f t="shared" si="18"/>
        <v>0</v>
      </c>
      <c r="BM32" s="111">
        <f t="shared" si="18"/>
        <v>0</v>
      </c>
      <c r="BN32" s="111">
        <f t="shared" si="18"/>
        <v>0</v>
      </c>
    </row>
    <row r="33" spans="2:66" ht="13.15" customHeight="1">
      <c r="G33" s="55" t="s">
        <v>206</v>
      </c>
      <c r="J33" s="55">
        <f>extender_tp</f>
        <v>70</v>
      </c>
      <c r="K33" s="56" t="s">
        <v>207</v>
      </c>
      <c r="L33" s="244"/>
      <c r="M33" s="228"/>
      <c r="N33" s="229"/>
      <c r="O33" s="230"/>
      <c r="P33" s="231">
        <f t="shared" si="4"/>
        <v>0</v>
      </c>
      <c r="Q33" s="90">
        <f t="shared" si="5"/>
        <v>0</v>
      </c>
      <c r="R33" s="91">
        <f t="shared" si="6"/>
        <v>0</v>
      </c>
      <c r="S33" s="87">
        <f t="shared" si="3"/>
        <v>0</v>
      </c>
      <c r="T33" s="92">
        <f t="shared" si="7"/>
        <v>0</v>
      </c>
      <c r="U33" s="93">
        <f t="shared" si="8"/>
        <v>0</v>
      </c>
      <c r="V33" s="57"/>
      <c r="X33" s="94">
        <f t="shared" si="9"/>
        <v>0</v>
      </c>
      <c r="Y33" s="94">
        <f t="shared" si="10"/>
        <v>0</v>
      </c>
      <c r="Z33" s="94">
        <f t="shared" si="11"/>
        <v>0</v>
      </c>
      <c r="AH33" s="53" t="s">
        <v>115</v>
      </c>
      <c r="AI33" s="106">
        <f>IF(CPD="BS7671",BF35,IF(CPD="ABB",BG35,IF(CPD="Crabtree",BH35,IF(CPD="Dorman",BI35,IF(CPD="Hager",BJ35,IF(CPD="MEM",BK35,IF(CPD="Schneider",BJ35,IF(CPD="Sq D",BN35,"ERR"))))))))</f>
        <v>2.2000000000000002</v>
      </c>
      <c r="AQ33" s="111">
        <f t="shared" ref="AQ33:AY33" si="19">IF(AND(In=25,cpd_type="B"),AQ16,IF(AND(In=25,cpd_type="C"),AQ17,IF(AND(In=25,cpd_type="D"),AQ18,0)))</f>
        <v>0</v>
      </c>
      <c r="AR33" s="111">
        <f t="shared" si="19"/>
        <v>0</v>
      </c>
      <c r="AS33" s="111">
        <f t="shared" si="19"/>
        <v>0</v>
      </c>
      <c r="AT33" s="111">
        <f t="shared" si="19"/>
        <v>0</v>
      </c>
      <c r="AU33" s="111">
        <f t="shared" si="19"/>
        <v>0</v>
      </c>
      <c r="AV33" s="111">
        <f t="shared" si="19"/>
        <v>0</v>
      </c>
      <c r="AW33" s="111">
        <f t="shared" si="19"/>
        <v>0</v>
      </c>
      <c r="AX33" s="111">
        <f t="shared" si="19"/>
        <v>0</v>
      </c>
      <c r="AY33" s="111">
        <f t="shared" si="19"/>
        <v>0</v>
      </c>
      <c r="BC33" s="34"/>
      <c r="BE33" s="102"/>
      <c r="BF33" s="111">
        <f t="shared" ref="BF33:BN33" si="20">IF(AND(In=25,cpd_type="B"),BF16,IF(AND(In=25,cpd_type="C"),BF17,IF(AND(In=25,cpd_type="D"),BF18,0)))</f>
        <v>0</v>
      </c>
      <c r="BG33" s="111">
        <f t="shared" si="20"/>
        <v>0</v>
      </c>
      <c r="BH33" s="111">
        <f t="shared" si="20"/>
        <v>0</v>
      </c>
      <c r="BI33" s="111">
        <f t="shared" si="20"/>
        <v>0</v>
      </c>
      <c r="BJ33" s="111">
        <f t="shared" si="20"/>
        <v>0</v>
      </c>
      <c r="BK33" s="111">
        <f t="shared" si="20"/>
        <v>0</v>
      </c>
      <c r="BL33" s="111">
        <f t="shared" si="20"/>
        <v>0</v>
      </c>
      <c r="BM33" s="111">
        <f t="shared" si="20"/>
        <v>0</v>
      </c>
      <c r="BN33" s="111">
        <f t="shared" si="20"/>
        <v>0</v>
      </c>
    </row>
    <row r="34" spans="2:66" ht="13.15" customHeight="1">
      <c r="G34" s="55" t="s">
        <v>101</v>
      </c>
      <c r="I34" s="57"/>
      <c r="J34" s="55">
        <f>extender_It1</f>
        <v>25</v>
      </c>
      <c r="K34" s="237" t="s">
        <v>56</v>
      </c>
      <c r="L34" s="244"/>
      <c r="M34" s="228"/>
      <c r="N34" s="229"/>
      <c r="O34" s="230"/>
      <c r="P34" s="231">
        <f t="shared" si="4"/>
        <v>0</v>
      </c>
      <c r="Q34" s="90">
        <f t="shared" si="5"/>
        <v>0</v>
      </c>
      <c r="R34" s="91">
        <f t="shared" si="6"/>
        <v>0</v>
      </c>
      <c r="S34" s="87">
        <f t="shared" si="3"/>
        <v>0</v>
      </c>
      <c r="T34" s="92">
        <f t="shared" si="7"/>
        <v>0</v>
      </c>
      <c r="U34" s="93">
        <f t="shared" si="8"/>
        <v>0</v>
      </c>
      <c r="V34" s="57"/>
      <c r="X34" s="94">
        <f t="shared" si="9"/>
        <v>0</v>
      </c>
      <c r="Y34" s="94">
        <f t="shared" si="10"/>
        <v>0</v>
      </c>
      <c r="Z34" s="94">
        <f t="shared" si="11"/>
        <v>0</v>
      </c>
      <c r="AH34" s="118" t="s">
        <v>57</v>
      </c>
      <c r="AI34" s="119">
        <f>IF(Disconnection_Time=5,AI32,IF(Disconnection_Time=0.4,AI33,"Error"))</f>
        <v>2.2000000000000002</v>
      </c>
      <c r="AQ34" s="111">
        <f t="shared" ref="AQ34:AY34" si="21">IF(AND(In=32,cpd_type="B"),AQ19,IF(AND(In=32,cpd_type="C"),AQ20,IF(AND(In=32,cpd_type="D"),AQ21,0)))</f>
        <v>0</v>
      </c>
      <c r="AR34" s="111">
        <f t="shared" si="21"/>
        <v>0</v>
      </c>
      <c r="AS34" s="111">
        <f t="shared" si="21"/>
        <v>0</v>
      </c>
      <c r="AT34" s="111">
        <f t="shared" si="21"/>
        <v>0</v>
      </c>
      <c r="AU34" s="111">
        <f t="shared" si="21"/>
        <v>0</v>
      </c>
      <c r="AV34" s="111">
        <f t="shared" si="21"/>
        <v>0</v>
      </c>
      <c r="AW34" s="111">
        <f t="shared" si="21"/>
        <v>0</v>
      </c>
      <c r="AX34" s="111">
        <f t="shared" si="21"/>
        <v>0</v>
      </c>
      <c r="AY34" s="111">
        <f t="shared" si="21"/>
        <v>0</v>
      </c>
      <c r="BC34" s="34"/>
      <c r="BE34" s="102"/>
      <c r="BF34" s="111">
        <f t="shared" ref="BF34:BN34" si="22">IF(AND(In=32,cpd_type="B"),BF19,IF(AND(In=32,cpd_type="C"),BF20,IF(AND(In=32,cpd_type="D"),BF21,0)))</f>
        <v>0</v>
      </c>
      <c r="BG34" s="111">
        <f t="shared" si="22"/>
        <v>0</v>
      </c>
      <c r="BH34" s="111">
        <f t="shared" si="22"/>
        <v>0</v>
      </c>
      <c r="BI34" s="111">
        <f t="shared" si="22"/>
        <v>0</v>
      </c>
      <c r="BJ34" s="111">
        <f t="shared" si="22"/>
        <v>0</v>
      </c>
      <c r="BK34" s="111">
        <f t="shared" si="22"/>
        <v>0</v>
      </c>
      <c r="BL34" s="111">
        <f t="shared" si="22"/>
        <v>0</v>
      </c>
      <c r="BM34" s="111">
        <f t="shared" si="22"/>
        <v>0</v>
      </c>
      <c r="BN34" s="111">
        <f t="shared" si="22"/>
        <v>0</v>
      </c>
    </row>
    <row r="35" spans="2:66" ht="13.15" customHeight="1">
      <c r="G35" s="55" t="s">
        <v>103</v>
      </c>
      <c r="I35" s="57"/>
      <c r="J35" s="55">
        <f>extender_Vd1</f>
        <v>19</v>
      </c>
      <c r="K35" s="237" t="s">
        <v>104</v>
      </c>
      <c r="L35" s="244"/>
      <c r="M35" s="228"/>
      <c r="N35" s="229"/>
      <c r="O35" s="230"/>
      <c r="P35" s="231">
        <f t="shared" si="4"/>
        <v>0</v>
      </c>
      <c r="Q35" s="90">
        <f t="shared" si="5"/>
        <v>0</v>
      </c>
      <c r="R35" s="91">
        <f t="shared" si="6"/>
        <v>0</v>
      </c>
      <c r="S35" s="87">
        <f t="shared" si="3"/>
        <v>0</v>
      </c>
      <c r="T35" s="92">
        <f t="shared" si="7"/>
        <v>0</v>
      </c>
      <c r="U35" s="93">
        <f t="shared" si="8"/>
        <v>0</v>
      </c>
      <c r="V35" s="57"/>
      <c r="X35" s="94">
        <f t="shared" si="9"/>
        <v>0</v>
      </c>
      <c r="Y35" s="94">
        <f t="shared" si="10"/>
        <v>0</v>
      </c>
      <c r="Z35" s="94">
        <f t="shared" si="11"/>
        <v>0</v>
      </c>
      <c r="AD35" s="55"/>
      <c r="AE35" s="55"/>
      <c r="AP35" s="18" t="s">
        <v>121</v>
      </c>
      <c r="AQ35" s="111">
        <f t="shared" ref="AQ35:AY35" si="23">SUM(AQ29:AQ34)</f>
        <v>2.4</v>
      </c>
      <c r="AR35" s="111">
        <f t="shared" si="23"/>
        <v>2.2000000000000002</v>
      </c>
      <c r="AS35" s="111">
        <f t="shared" si="23"/>
        <v>0</v>
      </c>
      <c r="AT35" s="111">
        <f t="shared" si="23"/>
        <v>0</v>
      </c>
      <c r="AU35" s="111">
        <f t="shared" si="23"/>
        <v>5.33</v>
      </c>
      <c r="AV35" s="111">
        <f t="shared" si="23"/>
        <v>0</v>
      </c>
      <c r="AW35" s="111">
        <f t="shared" si="23"/>
        <v>2.95</v>
      </c>
      <c r="AX35" s="111">
        <f t="shared" si="23"/>
        <v>0</v>
      </c>
      <c r="AY35" s="111">
        <f t="shared" si="23"/>
        <v>0</v>
      </c>
      <c r="BC35" s="34"/>
      <c r="BE35" s="18" t="s">
        <v>121</v>
      </c>
      <c r="BF35" s="111">
        <f t="shared" ref="BF35:BN35" si="24">SUM(BF29:BF34)</f>
        <v>2.4</v>
      </c>
      <c r="BG35" s="111">
        <f t="shared" si="24"/>
        <v>2.2000000000000002</v>
      </c>
      <c r="BH35" s="111">
        <f t="shared" si="24"/>
        <v>0</v>
      </c>
      <c r="BI35" s="111">
        <f t="shared" si="24"/>
        <v>0</v>
      </c>
      <c r="BJ35" s="111">
        <f t="shared" si="24"/>
        <v>2.4</v>
      </c>
      <c r="BK35" s="111">
        <f t="shared" si="24"/>
        <v>0</v>
      </c>
      <c r="BL35" s="111">
        <f t="shared" si="24"/>
        <v>2.2999999999999998</v>
      </c>
      <c r="BM35" s="111">
        <f t="shared" si="24"/>
        <v>0</v>
      </c>
      <c r="BN35" s="111">
        <f t="shared" si="24"/>
        <v>0</v>
      </c>
    </row>
    <row r="36" spans="2:66" ht="13.15" customHeight="1">
      <c r="G36" s="55" t="s">
        <v>105</v>
      </c>
      <c r="J36" s="55">
        <f>extender_Z1</f>
        <v>7.98</v>
      </c>
      <c r="K36" s="238" t="s">
        <v>106</v>
      </c>
      <c r="L36" s="244"/>
      <c r="M36" s="228"/>
      <c r="N36" s="229"/>
      <c r="O36" s="230"/>
      <c r="P36" s="231">
        <f t="shared" si="4"/>
        <v>0</v>
      </c>
      <c r="Q36" s="90">
        <f t="shared" si="5"/>
        <v>0</v>
      </c>
      <c r="R36" s="91">
        <f t="shared" si="6"/>
        <v>0</v>
      </c>
      <c r="S36" s="87">
        <f t="shared" si="3"/>
        <v>0</v>
      </c>
      <c r="T36" s="92">
        <f t="shared" si="7"/>
        <v>0</v>
      </c>
      <c r="U36" s="93">
        <f t="shared" si="8"/>
        <v>0</v>
      </c>
      <c r="V36" s="57"/>
      <c r="X36" s="94">
        <f t="shared" si="9"/>
        <v>0</v>
      </c>
      <c r="Y36" s="94">
        <f t="shared" si="10"/>
        <v>0</v>
      </c>
      <c r="Z36" s="94">
        <f t="shared" si="11"/>
        <v>0</v>
      </c>
      <c r="AD36" s="55"/>
      <c r="AE36" s="55"/>
      <c r="AH36" s="53" t="s">
        <v>123</v>
      </c>
      <c r="AI36" s="120" t="str">
        <f>IF(homerun_It1&gt;=(In/Homerun_Cg),AJ39,AJ40)</f>
        <v>ü</v>
      </c>
      <c r="AJ36" s="120"/>
      <c r="AK36" s="120"/>
      <c r="BE36" s="102"/>
      <c r="BF36" s="103"/>
      <c r="BG36" s="102"/>
      <c r="BH36" s="102"/>
      <c r="BI36" s="102"/>
      <c r="BJ36" s="102"/>
      <c r="BK36" s="102"/>
      <c r="BL36" s="104"/>
      <c r="BM36" s="102"/>
      <c r="BN36" s="102"/>
    </row>
    <row r="37" spans="2:66" ht="13.15" customHeight="1">
      <c r="G37" s="55" t="s">
        <v>108</v>
      </c>
      <c r="I37" s="7"/>
      <c r="J37" s="55">
        <f>ROUNDUP((Extender_ZinstPH+Extender_ZinstCPC),2)</f>
        <v>19.920000000000002</v>
      </c>
      <c r="K37" s="238" t="s">
        <v>106</v>
      </c>
      <c r="L37" s="244"/>
      <c r="M37" s="228"/>
      <c r="N37" s="229"/>
      <c r="O37" s="230"/>
      <c r="P37" s="231">
        <f t="shared" si="4"/>
        <v>0</v>
      </c>
      <c r="Q37" s="90">
        <f t="shared" si="5"/>
        <v>0</v>
      </c>
      <c r="R37" s="91">
        <f t="shared" si="6"/>
        <v>0</v>
      </c>
      <c r="S37" s="87">
        <f t="shared" si="3"/>
        <v>0</v>
      </c>
      <c r="T37" s="92">
        <f t="shared" si="7"/>
        <v>0</v>
      </c>
      <c r="U37" s="93">
        <f t="shared" si="8"/>
        <v>0</v>
      </c>
      <c r="V37" s="57"/>
      <c r="X37" s="94">
        <f t="shared" si="9"/>
        <v>0</v>
      </c>
      <c r="Y37" s="94">
        <f t="shared" si="10"/>
        <v>0</v>
      </c>
      <c r="Z37" s="94">
        <f t="shared" si="11"/>
        <v>0</v>
      </c>
      <c r="AH37" s="53" t="s">
        <v>125</v>
      </c>
      <c r="AI37" s="120"/>
      <c r="AJ37" s="120" t="str">
        <f>IF(extender_It1&gt;=(In/extender_Cg),AJ39,AJ40)</f>
        <v>ü</v>
      </c>
      <c r="AK37" s="34"/>
      <c r="AP37" s="18" t="str">
        <f>D31</f>
        <v>ABB</v>
      </c>
      <c r="AQ37" s="32"/>
      <c r="BE37" s="18" t="str">
        <f>D31</f>
        <v>ABB</v>
      </c>
      <c r="BF37" s="32"/>
      <c r="BG37" s="102"/>
      <c r="BH37" s="102"/>
      <c r="BI37" s="102"/>
      <c r="BJ37" s="102"/>
      <c r="BK37" s="102"/>
      <c r="BL37" s="104"/>
      <c r="BM37" s="102"/>
      <c r="BN37" s="102"/>
    </row>
    <row r="38" spans="2:66" s="7" customFormat="1" ht="13.15" customHeight="1">
      <c r="G38" s="55" t="s">
        <v>138</v>
      </c>
      <c r="H38" s="55"/>
      <c r="I38" s="57"/>
      <c r="J38" s="110">
        <f>AQ59</f>
        <v>245.01171090897441</v>
      </c>
      <c r="K38" s="237" t="s">
        <v>56</v>
      </c>
      <c r="L38" s="244"/>
      <c r="M38" s="228"/>
      <c r="N38" s="229"/>
      <c r="O38" s="230"/>
      <c r="P38" s="231">
        <f t="shared" si="4"/>
        <v>0</v>
      </c>
      <c r="Q38" s="90">
        <f t="shared" si="5"/>
        <v>0</v>
      </c>
      <c r="R38" s="91">
        <f t="shared" si="6"/>
        <v>0</v>
      </c>
      <c r="S38" s="87">
        <f t="shared" si="3"/>
        <v>0</v>
      </c>
      <c r="T38" s="92">
        <f t="shared" si="7"/>
        <v>0</v>
      </c>
      <c r="U38" s="93">
        <f t="shared" si="8"/>
        <v>0</v>
      </c>
      <c r="V38" s="57"/>
      <c r="W38" s="55"/>
      <c r="X38" s="94">
        <f t="shared" si="9"/>
        <v>0</v>
      </c>
      <c r="Y38" s="94">
        <f t="shared" si="10"/>
        <v>0</v>
      </c>
      <c r="Z38" s="94">
        <f t="shared" si="11"/>
        <v>0</v>
      </c>
      <c r="AF38" s="11"/>
      <c r="AG38" s="11"/>
      <c r="AH38" s="53" t="s">
        <v>126</v>
      </c>
      <c r="AI38" s="9"/>
      <c r="AJ38" s="9"/>
      <c r="AK38" s="120" t="str">
        <f>IF(SD_It1&gt;=(In/SD_Cg),AK39,AK40)</f>
        <v>ü</v>
      </c>
      <c r="AM38" s="102"/>
      <c r="AN38" s="102"/>
      <c r="AO38" s="102"/>
      <c r="AP38" s="102"/>
      <c r="AQ38" s="103"/>
      <c r="AR38" s="102"/>
      <c r="AS38" s="102"/>
      <c r="AT38" s="102"/>
      <c r="AU38" s="102"/>
      <c r="AV38" s="102"/>
      <c r="AW38" s="104"/>
      <c r="AX38" s="102"/>
      <c r="AY38" s="102"/>
      <c r="AZ38" s="105"/>
    </row>
    <row r="39" spans="2:66" ht="13.15" customHeight="1">
      <c r="B39" s="314" t="str">
        <f>IF(J7=0,"This calculation is un-checked",0)</f>
        <v>This calculation is un-checked</v>
      </c>
      <c r="C39" s="315"/>
      <c r="D39" s="315"/>
      <c r="G39" s="55" t="s">
        <v>140</v>
      </c>
      <c r="I39" s="57"/>
      <c r="J39" s="110">
        <f>AQ60</f>
        <v>128.11885299606598</v>
      </c>
      <c r="K39" s="237" t="s">
        <v>56</v>
      </c>
      <c r="L39" s="244"/>
      <c r="M39" s="228"/>
      <c r="N39" s="229"/>
      <c r="O39" s="230"/>
      <c r="P39" s="231">
        <f t="shared" si="4"/>
        <v>0</v>
      </c>
      <c r="Q39" s="90">
        <f t="shared" si="5"/>
        <v>0</v>
      </c>
      <c r="R39" s="91">
        <f t="shared" si="6"/>
        <v>0</v>
      </c>
      <c r="S39" s="87">
        <f t="shared" si="3"/>
        <v>0</v>
      </c>
      <c r="T39" s="92">
        <f t="shared" si="7"/>
        <v>0</v>
      </c>
      <c r="U39" s="93">
        <f t="shared" si="8"/>
        <v>0</v>
      </c>
      <c r="V39" s="57"/>
      <c r="X39" s="94">
        <f t="shared" si="9"/>
        <v>0</v>
      </c>
      <c r="Y39" s="94">
        <f t="shared" si="10"/>
        <v>0</v>
      </c>
      <c r="Z39" s="94">
        <f t="shared" si="11"/>
        <v>0</v>
      </c>
      <c r="AH39" s="53" t="s">
        <v>128</v>
      </c>
      <c r="AI39" s="120" t="str">
        <f ca="1">IF((ROUNDUP((100/nominal_V*D60),2))&lt;=Max_VD,AJ39,AJ40)</f>
        <v>û</v>
      </c>
      <c r="AJ39" s="120" t="s">
        <v>129</v>
      </c>
      <c r="AK39" s="120" t="s">
        <v>129</v>
      </c>
      <c r="BA39" s="55"/>
      <c r="BB39" s="55"/>
    </row>
    <row r="40" spans="2:66" ht="13.15" customHeight="1">
      <c r="B40" s="315"/>
      <c r="C40" s="315"/>
      <c r="D40" s="315"/>
      <c r="G40" s="55" t="s">
        <v>143</v>
      </c>
      <c r="I40" s="57"/>
      <c r="J40" s="110">
        <f>AS76</f>
        <v>300</v>
      </c>
      <c r="K40" s="237"/>
      <c r="L40" s="244"/>
      <c r="M40" s="228"/>
      <c r="N40" s="229"/>
      <c r="O40" s="230"/>
      <c r="P40" s="231">
        <f t="shared" si="4"/>
        <v>0</v>
      </c>
      <c r="Q40" s="90">
        <f t="shared" si="5"/>
        <v>0</v>
      </c>
      <c r="R40" s="91">
        <f t="shared" si="6"/>
        <v>0</v>
      </c>
      <c r="S40" s="87">
        <f t="shared" si="3"/>
        <v>0</v>
      </c>
      <c r="T40" s="92">
        <f t="shared" si="7"/>
        <v>0</v>
      </c>
      <c r="U40" s="93">
        <f t="shared" si="8"/>
        <v>0</v>
      </c>
      <c r="V40" s="57"/>
      <c r="X40" s="94">
        <f t="shared" si="9"/>
        <v>0</v>
      </c>
      <c r="Y40" s="94">
        <f t="shared" si="10"/>
        <v>0</v>
      </c>
      <c r="Z40" s="94">
        <f t="shared" si="11"/>
        <v>0</v>
      </c>
      <c r="AH40" s="53" t="s">
        <v>131</v>
      </c>
      <c r="AI40" s="120" t="str">
        <f>IF(D58&lt;=D32,AJ39,AJ40)</f>
        <v>ü</v>
      </c>
      <c r="AJ40" s="120" t="s">
        <v>132</v>
      </c>
      <c r="AK40" s="120" t="s">
        <v>132</v>
      </c>
      <c r="AM40" s="121"/>
      <c r="AN40" s="121"/>
      <c r="AO40" s="121"/>
      <c r="AP40" s="121"/>
      <c r="AQ40" s="32" t="s">
        <v>133</v>
      </c>
      <c r="AR40" s="121"/>
      <c r="AS40" s="32" t="s">
        <v>134</v>
      </c>
      <c r="AT40" s="121"/>
      <c r="AU40" s="121"/>
      <c r="AV40" s="121"/>
      <c r="AW40" s="122"/>
      <c r="BA40" s="55"/>
      <c r="BB40" s="55"/>
    </row>
    <row r="41" spans="2:66" ht="13.15" customHeight="1">
      <c r="B41" s="315"/>
      <c r="C41" s="315"/>
      <c r="D41" s="315"/>
      <c r="G41" s="55" t="s">
        <v>145</v>
      </c>
      <c r="H41" s="7"/>
      <c r="I41" s="57"/>
      <c r="J41" s="110">
        <f>AU76</f>
        <v>70</v>
      </c>
      <c r="K41" s="237"/>
      <c r="L41" s="244"/>
      <c r="M41" s="228"/>
      <c r="N41" s="229"/>
      <c r="O41" s="230"/>
      <c r="P41" s="231">
        <f t="shared" si="4"/>
        <v>0</v>
      </c>
      <c r="Q41" s="90">
        <f t="shared" si="5"/>
        <v>0</v>
      </c>
      <c r="R41" s="91">
        <f t="shared" si="6"/>
        <v>0</v>
      </c>
      <c r="S41" s="87">
        <f t="shared" si="3"/>
        <v>0</v>
      </c>
      <c r="T41" s="92">
        <f t="shared" si="7"/>
        <v>0</v>
      </c>
      <c r="U41" s="93">
        <f t="shared" si="8"/>
        <v>0</v>
      </c>
      <c r="V41" s="57"/>
      <c r="X41" s="94">
        <f t="shared" si="9"/>
        <v>0</v>
      </c>
      <c r="Y41" s="94">
        <f t="shared" si="10"/>
        <v>0</v>
      </c>
      <c r="Z41" s="94">
        <f t="shared" si="11"/>
        <v>0</v>
      </c>
      <c r="AD41" s="60" t="s">
        <v>201</v>
      </c>
      <c r="AH41" s="53" t="s">
        <v>136</v>
      </c>
      <c r="AI41" s="120" t="str">
        <f>IF(J25&gt;J24,AJ39,AJ40)</f>
        <v>ü</v>
      </c>
      <c r="AM41" s="121"/>
      <c r="AN41" s="121"/>
      <c r="AO41" s="121"/>
      <c r="AP41" s="121"/>
      <c r="AQ41" s="32" t="s">
        <v>73</v>
      </c>
      <c r="AR41" s="32" t="s">
        <v>137</v>
      </c>
      <c r="AS41" s="32" t="s">
        <v>73</v>
      </c>
      <c r="AT41" s="32" t="s">
        <v>137</v>
      </c>
      <c r="AU41" s="32"/>
      <c r="AV41" s="121"/>
      <c r="AW41" s="122"/>
      <c r="BA41" s="55"/>
      <c r="BB41" s="55"/>
    </row>
    <row r="42" spans="2:66" ht="13.15" customHeight="1">
      <c r="B42" s="315"/>
      <c r="C42" s="315"/>
      <c r="D42" s="315"/>
      <c r="G42" s="55" t="s">
        <v>111</v>
      </c>
      <c r="I42" s="57"/>
      <c r="J42" s="110">
        <f>143^2*extender_csa^2</f>
        <v>127806.25</v>
      </c>
      <c r="K42" s="237"/>
      <c r="L42" s="244"/>
      <c r="M42" s="228"/>
      <c r="N42" s="229"/>
      <c r="O42" s="230"/>
      <c r="P42" s="231">
        <f t="shared" si="4"/>
        <v>0</v>
      </c>
      <c r="Q42" s="90">
        <f t="shared" si="5"/>
        <v>0</v>
      </c>
      <c r="R42" s="91">
        <f t="shared" si="6"/>
        <v>0</v>
      </c>
      <c r="S42" s="87">
        <f t="shared" si="3"/>
        <v>0</v>
      </c>
      <c r="T42" s="92">
        <f t="shared" si="7"/>
        <v>0</v>
      </c>
      <c r="U42" s="93">
        <f t="shared" si="8"/>
        <v>0</v>
      </c>
      <c r="V42" s="57"/>
      <c r="X42" s="94">
        <f t="shared" si="9"/>
        <v>0</v>
      </c>
      <c r="Y42" s="94">
        <f t="shared" si="10"/>
        <v>0</v>
      </c>
      <c r="Z42" s="94">
        <f t="shared" si="11"/>
        <v>0</v>
      </c>
      <c r="AD42" s="60" t="s">
        <v>192</v>
      </c>
      <c r="AH42" s="53" t="s">
        <v>139</v>
      </c>
      <c r="AI42" s="120" t="str">
        <f>IF(J42&gt;J40,AJ39,AJ40)</f>
        <v>ü</v>
      </c>
      <c r="AM42" s="121"/>
      <c r="AN42" s="121"/>
      <c r="AO42" s="121"/>
      <c r="AP42" s="121"/>
      <c r="AQ42" s="32"/>
      <c r="AR42" s="32"/>
      <c r="AS42" s="32"/>
      <c r="AT42" s="32"/>
      <c r="AU42" s="32"/>
      <c r="AV42" s="121"/>
      <c r="AW42" s="122"/>
      <c r="BA42" s="55"/>
      <c r="BB42" s="55"/>
    </row>
    <row r="43" spans="2:66" ht="13.15" customHeight="1">
      <c r="B43" s="315"/>
      <c r="C43" s="315"/>
      <c r="D43" s="315"/>
      <c r="G43" s="54" t="s">
        <v>146</v>
      </c>
      <c r="I43" s="57"/>
      <c r="J43" s="113" t="str">
        <f>AI42</f>
        <v>ü</v>
      </c>
      <c r="K43" s="237"/>
      <c r="L43" s="244"/>
      <c r="M43" s="228"/>
      <c r="N43" s="229"/>
      <c r="O43" s="230"/>
      <c r="P43" s="231">
        <f t="shared" si="4"/>
        <v>0</v>
      </c>
      <c r="Q43" s="90">
        <f t="shared" si="5"/>
        <v>0</v>
      </c>
      <c r="R43" s="91">
        <f t="shared" si="6"/>
        <v>0</v>
      </c>
      <c r="S43" s="87">
        <f t="shared" si="3"/>
        <v>0</v>
      </c>
      <c r="T43" s="92">
        <f t="shared" si="7"/>
        <v>0</v>
      </c>
      <c r="U43" s="93">
        <f t="shared" si="8"/>
        <v>0</v>
      </c>
      <c r="V43" s="57"/>
      <c r="X43" s="94">
        <f t="shared" si="9"/>
        <v>0</v>
      </c>
      <c r="Y43" s="94">
        <f t="shared" si="10"/>
        <v>0</v>
      </c>
      <c r="Z43" s="94">
        <f t="shared" si="11"/>
        <v>0</v>
      </c>
      <c r="AH43" s="53" t="s">
        <v>142</v>
      </c>
      <c r="AI43" s="120" t="str">
        <f>IF(J42&gt;J41,AJ39,AJ40)</f>
        <v>ü</v>
      </c>
      <c r="AL43" s="55"/>
      <c r="AM43" s="121"/>
      <c r="AN43" s="121"/>
      <c r="AO43" s="121"/>
      <c r="AP43" s="121">
        <v>1</v>
      </c>
      <c r="AQ43" s="123">
        <v>100</v>
      </c>
      <c r="AR43" s="123">
        <v>70</v>
      </c>
      <c r="AS43" s="123">
        <v>100</v>
      </c>
      <c r="AT43" s="123">
        <v>70</v>
      </c>
      <c r="AU43" s="124"/>
      <c r="AV43" s="121"/>
      <c r="AW43" s="122"/>
      <c r="BA43" s="55"/>
      <c r="BB43" s="55"/>
    </row>
    <row r="44" spans="2:66" ht="13.15" customHeight="1">
      <c r="B44" s="315"/>
      <c r="C44" s="315"/>
      <c r="D44" s="315"/>
      <c r="G44" s="54" t="s">
        <v>147</v>
      </c>
      <c r="I44" s="57"/>
      <c r="J44" s="113" t="str">
        <f>AI43</f>
        <v>ü</v>
      </c>
      <c r="K44" s="237"/>
      <c r="L44" s="244"/>
      <c r="M44" s="228"/>
      <c r="N44" s="229"/>
      <c r="O44" s="230"/>
      <c r="P44" s="231">
        <f t="shared" si="4"/>
        <v>0</v>
      </c>
      <c r="Q44" s="90">
        <f t="shared" si="5"/>
        <v>0</v>
      </c>
      <c r="R44" s="91">
        <f t="shared" si="6"/>
        <v>0</v>
      </c>
      <c r="S44" s="87">
        <f t="shared" si="3"/>
        <v>0</v>
      </c>
      <c r="T44" s="92">
        <f t="shared" si="7"/>
        <v>0</v>
      </c>
      <c r="U44" s="93">
        <f t="shared" si="8"/>
        <v>0</v>
      </c>
      <c r="V44" s="57"/>
      <c r="X44" s="94">
        <f t="shared" si="9"/>
        <v>0</v>
      </c>
      <c r="Y44" s="94">
        <f t="shared" si="10"/>
        <v>0</v>
      </c>
      <c r="Z44" s="94">
        <f t="shared" si="11"/>
        <v>0</v>
      </c>
      <c r="AC44" s="41"/>
      <c r="AG44" s="41"/>
      <c r="AH44" s="53" t="s">
        <v>144</v>
      </c>
      <c r="AI44" s="120" t="str">
        <f>IF(J58&gt;J57,AJ39,AJ40)</f>
        <v>ü</v>
      </c>
      <c r="AL44" s="55"/>
      <c r="AM44" s="121"/>
      <c r="AN44" s="121"/>
      <c r="AO44" s="121"/>
      <c r="AP44" s="121">
        <v>2</v>
      </c>
      <c r="AQ44" s="123">
        <v>200</v>
      </c>
      <c r="AR44" s="123">
        <v>300</v>
      </c>
      <c r="AS44" s="123">
        <v>200</v>
      </c>
      <c r="AT44" s="123">
        <v>300</v>
      </c>
      <c r="AU44" s="124"/>
      <c r="AV44" s="121"/>
      <c r="AW44" s="122"/>
      <c r="BA44" s="55"/>
      <c r="BB44" s="55"/>
    </row>
    <row r="45" spans="2:66" ht="13.15" customHeight="1">
      <c r="F45" s="96"/>
      <c r="K45" s="240"/>
      <c r="L45" s="245"/>
      <c r="M45" s="228"/>
      <c r="N45" s="229"/>
      <c r="O45" s="230"/>
      <c r="P45" s="232">
        <f t="shared" si="4"/>
        <v>0</v>
      </c>
      <c r="Q45" s="78">
        <f t="shared" si="5"/>
        <v>0</v>
      </c>
      <c r="R45" s="114">
        <f t="shared" si="6"/>
        <v>0</v>
      </c>
      <c r="S45" s="77">
        <f t="shared" si="3"/>
        <v>0</v>
      </c>
      <c r="T45" s="82">
        <f t="shared" si="7"/>
        <v>0</v>
      </c>
      <c r="U45" s="115">
        <f t="shared" si="8"/>
        <v>0</v>
      </c>
      <c r="V45" s="57"/>
      <c r="X45" s="116">
        <f t="shared" si="9"/>
        <v>0</v>
      </c>
      <c r="Y45" s="116">
        <f t="shared" si="10"/>
        <v>0</v>
      </c>
      <c r="Z45" s="116">
        <f t="shared" si="11"/>
        <v>0</v>
      </c>
      <c r="AC45" s="41"/>
      <c r="AG45" s="41"/>
      <c r="AH45" s="125"/>
      <c r="AI45" s="41"/>
      <c r="AJ45" s="55"/>
      <c r="AK45" s="55"/>
      <c r="AL45" s="55"/>
      <c r="AM45" s="121"/>
      <c r="AN45" s="121"/>
      <c r="AO45" s="121"/>
      <c r="AP45" s="121">
        <v>3</v>
      </c>
      <c r="AQ45" s="123">
        <v>300</v>
      </c>
      <c r="AR45" s="123">
        <v>500</v>
      </c>
      <c r="AS45" s="123">
        <v>300</v>
      </c>
      <c r="AT45" s="123">
        <v>500</v>
      </c>
      <c r="AU45" s="124"/>
      <c r="AV45" s="121"/>
      <c r="AW45" s="122"/>
      <c r="BA45" s="55"/>
      <c r="BB45" s="55"/>
    </row>
    <row r="46" spans="2:66" ht="13.15" customHeight="1">
      <c r="K46" s="240"/>
      <c r="L46" s="233"/>
      <c r="M46" s="234"/>
      <c r="N46" s="235"/>
      <c r="O46" s="236"/>
      <c r="P46" s="57"/>
      <c r="Q46" s="57"/>
      <c r="S46" s="56"/>
      <c r="V46" s="57"/>
      <c r="X46" s="106">
        <f>SUM(X18:X45)</f>
        <v>1.86</v>
      </c>
      <c r="Y46" s="106">
        <f>SUM(Y18:Y45)</f>
        <v>128.11885299606598</v>
      </c>
      <c r="Z46" s="106">
        <f>SUM(Z18:Z45)</f>
        <v>2.5799999999999996</v>
      </c>
      <c r="AC46" s="41"/>
      <c r="AG46" s="41"/>
      <c r="AH46" s="53" t="s">
        <v>188</v>
      </c>
      <c r="AI46" s="257">
        <f ca="1">IF(ISNUMBER(SEARCH("L1",C12)),VD_L1,IF(ISNUMBER(SEARCH("L2",C12)),VD_L2,IF(ISNUMBER(SEARCH("L3",C12)),VD_L3,"")))</f>
        <v>2.1499999999999998E-2</v>
      </c>
      <c r="AJ46" s="55"/>
      <c r="AK46" s="55"/>
      <c r="AL46" s="55"/>
      <c r="AM46" s="121"/>
      <c r="AN46" s="121"/>
      <c r="AO46" s="121"/>
      <c r="AP46" s="121">
        <v>4</v>
      </c>
      <c r="AQ46" s="123">
        <v>400</v>
      </c>
      <c r="AR46" s="123">
        <v>980</v>
      </c>
      <c r="AS46" s="123">
        <v>400</v>
      </c>
      <c r="AT46" s="123">
        <v>980</v>
      </c>
      <c r="AU46" s="124"/>
      <c r="AV46" s="121"/>
      <c r="AW46" s="122"/>
      <c r="BA46" s="55"/>
      <c r="BB46" s="55"/>
    </row>
    <row r="47" spans="2:66" ht="13.15" customHeight="1">
      <c r="G47" s="96" t="str">
        <f>IF(C8="Power",AD42,IF(C8="Lighting",AD41,"ERR"))</f>
        <v>SWITCH DROP/UN-ARMOURED CABLE:</v>
      </c>
      <c r="I47" s="57"/>
      <c r="J47" s="96"/>
      <c r="K47" s="242"/>
      <c r="L47" s="30" t="s">
        <v>116</v>
      </c>
      <c r="M47" s="57"/>
      <c r="P47" s="57"/>
      <c r="Q47" s="56"/>
      <c r="R47" s="30" t="s">
        <v>117</v>
      </c>
      <c r="S47" s="131"/>
      <c r="T47" s="128"/>
      <c r="U47" s="117" t="s">
        <v>118</v>
      </c>
      <c r="V47" s="57"/>
      <c r="AH47" s="53" t="s">
        <v>188</v>
      </c>
      <c r="AI47" s="258">
        <f ca="1">Source_Nominal_V*(AI46)</f>
        <v>4.9449999999999994</v>
      </c>
      <c r="AJ47" s="55"/>
      <c r="AK47" s="55"/>
      <c r="AM47" s="121"/>
      <c r="AN47" s="121"/>
      <c r="AO47" s="121"/>
      <c r="AP47" s="121">
        <v>5</v>
      </c>
      <c r="AQ47" s="123">
        <v>500</v>
      </c>
      <c r="AR47" s="123">
        <v>1200</v>
      </c>
      <c r="AS47" s="123">
        <v>500</v>
      </c>
      <c r="AT47" s="123">
        <v>1200</v>
      </c>
      <c r="AU47" s="124"/>
      <c r="AV47" s="121"/>
      <c r="AW47" s="122"/>
    </row>
    <row r="48" spans="2:66" ht="13.15" customHeight="1">
      <c r="G48" s="69" t="s">
        <v>119</v>
      </c>
      <c r="I48" s="57"/>
      <c r="J48" s="153">
        <v>1</v>
      </c>
      <c r="K48" s="56"/>
      <c r="L48" s="54" t="s">
        <v>195</v>
      </c>
      <c r="M48" s="57"/>
      <c r="P48" s="57"/>
      <c r="Q48" s="56"/>
      <c r="R48" s="55" t="s">
        <v>120</v>
      </c>
      <c r="U48" s="133" t="str">
        <f>AI36</f>
        <v>ü</v>
      </c>
      <c r="V48" s="57"/>
      <c r="AH48" s="53" t="s">
        <v>241</v>
      </c>
      <c r="AI48" s="258">
        <f ca="1">IF(ISNUMBER(SEARCH("L1",C12)),VDV_L1,IF(ISNUMBER(SEARCH("L2",C12)),VDV_L2,IF(ISNUMBER(SEARCH("L3",C12)),VDV_L3,"")))</f>
        <v>229.50550000000001</v>
      </c>
      <c r="AJ48" s="55"/>
      <c r="AK48" s="55"/>
      <c r="AM48" s="121"/>
      <c r="AN48" s="121"/>
      <c r="AO48" s="121"/>
      <c r="AP48" s="121">
        <v>6</v>
      </c>
      <c r="AQ48" s="123">
        <v>600</v>
      </c>
      <c r="AR48" s="123">
        <v>1500</v>
      </c>
      <c r="AS48" s="123">
        <v>600</v>
      </c>
      <c r="AT48" s="123">
        <v>1500</v>
      </c>
      <c r="AU48" s="124"/>
      <c r="AV48" s="121"/>
      <c r="AW48" s="122"/>
    </row>
    <row r="49" spans="1:49" ht="13.15" customHeight="1">
      <c r="G49" s="55" t="s">
        <v>96</v>
      </c>
      <c r="I49" s="57"/>
      <c r="J49" s="154">
        <f>IF(Service="Lighting",1.5,IF(Service="Power",2.5,"Error"))</f>
        <v>1.5</v>
      </c>
      <c r="K49" s="56" t="s">
        <v>97</v>
      </c>
      <c r="L49" s="54" t="s">
        <v>184</v>
      </c>
      <c r="M49" s="57"/>
      <c r="P49" s="57"/>
      <c r="Q49" s="56"/>
      <c r="R49" s="55" t="s">
        <v>122</v>
      </c>
      <c r="U49" s="133" t="str">
        <f>AJ37</f>
        <v>ü</v>
      </c>
      <c r="V49" s="57"/>
      <c r="AE49" s="55"/>
      <c r="AF49" s="55"/>
      <c r="AG49" s="55"/>
      <c r="AH49" s="55"/>
      <c r="AM49" s="121"/>
      <c r="AN49" s="121"/>
      <c r="AO49" s="121"/>
      <c r="AP49" s="121">
        <v>7</v>
      </c>
      <c r="AQ49" s="123">
        <v>700</v>
      </c>
      <c r="AR49" s="123">
        <v>2000</v>
      </c>
      <c r="AS49" s="123">
        <v>700</v>
      </c>
      <c r="AT49" s="123">
        <v>2000</v>
      </c>
      <c r="AU49" s="124"/>
      <c r="AV49" s="121"/>
      <c r="AW49" s="122"/>
    </row>
    <row r="50" spans="1:49" ht="13.15" customHeight="1">
      <c r="G50" s="55" t="s">
        <v>99</v>
      </c>
      <c r="I50" s="57"/>
      <c r="J50" s="155" t="s">
        <v>148</v>
      </c>
      <c r="K50" s="56"/>
      <c r="L50" s="54" t="s">
        <v>197</v>
      </c>
      <c r="M50" s="22"/>
      <c r="N50" s="22"/>
      <c r="O50" s="22"/>
      <c r="P50" s="22"/>
      <c r="Q50" s="56"/>
      <c r="R50" s="55" t="s">
        <v>124</v>
      </c>
      <c r="U50" s="133" t="str">
        <f>AK38</f>
        <v>ü</v>
      </c>
      <c r="V50" s="57"/>
      <c r="AE50" s="55"/>
      <c r="AF50" s="55"/>
      <c r="AG50" s="55"/>
      <c r="AH50" s="55"/>
      <c r="AM50" s="121"/>
      <c r="AN50" s="121"/>
      <c r="AO50" s="121"/>
      <c r="AP50" s="121">
        <v>8</v>
      </c>
      <c r="AQ50" s="123">
        <v>800</v>
      </c>
      <c r="AR50" s="123">
        <v>2100</v>
      </c>
      <c r="AS50" s="123">
        <v>800</v>
      </c>
      <c r="AT50" s="123">
        <v>2100</v>
      </c>
      <c r="AU50" s="124"/>
      <c r="AV50" s="121"/>
      <c r="AW50" s="122"/>
    </row>
    <row r="51" spans="1:49" ht="13.15" customHeight="1">
      <c r="G51" s="55" t="s">
        <v>206</v>
      </c>
      <c r="J51" s="55">
        <f>SD_tp</f>
        <v>70</v>
      </c>
      <c r="K51" s="56" t="s">
        <v>207</v>
      </c>
      <c r="L51" s="134" t="s">
        <v>198</v>
      </c>
      <c r="M51" s="57"/>
      <c r="P51" s="57"/>
      <c r="Q51" s="56"/>
      <c r="R51" s="55" t="str">
        <f ca="1">"Voltage Drop less than "&amp;Max_VD&amp;"%:"</f>
        <v>Voltage Drop less than 1.85%:</v>
      </c>
      <c r="S51" s="57"/>
      <c r="U51" s="133" t="str">
        <f ca="1">AI39</f>
        <v>û</v>
      </c>
      <c r="V51" s="57"/>
      <c r="AE51" s="55"/>
      <c r="AF51" s="55"/>
      <c r="AG51" s="55"/>
      <c r="AH51" s="55"/>
      <c r="AM51" s="121"/>
      <c r="AN51" s="121"/>
      <c r="AO51" s="121"/>
      <c r="AP51" s="121">
        <v>9</v>
      </c>
      <c r="AQ51" s="123">
        <v>900</v>
      </c>
      <c r="AR51" s="123">
        <v>2500</v>
      </c>
      <c r="AS51" s="123">
        <v>900</v>
      </c>
      <c r="AT51" s="123">
        <v>2500</v>
      </c>
      <c r="AU51" s="124"/>
      <c r="AV51" s="121"/>
      <c r="AW51" s="122"/>
    </row>
    <row r="52" spans="1:49" ht="13.15" customHeight="1">
      <c r="A52" s="59"/>
      <c r="C52" s="57"/>
      <c r="D52" s="57"/>
      <c r="G52" s="55" t="s">
        <v>101</v>
      </c>
      <c r="I52" s="57"/>
      <c r="J52" s="55">
        <f>SD_It1</f>
        <v>16</v>
      </c>
      <c r="K52" s="56" t="s">
        <v>56</v>
      </c>
      <c r="L52" s="134" t="s">
        <v>196</v>
      </c>
      <c r="M52" s="57"/>
      <c r="P52" s="57"/>
      <c r="Q52" s="56"/>
      <c r="R52" s="55" t="s">
        <v>127</v>
      </c>
      <c r="S52" s="57"/>
      <c r="U52" s="133" t="str">
        <f>AI40</f>
        <v>ü</v>
      </c>
      <c r="V52" s="57"/>
      <c r="AE52" s="55"/>
      <c r="AF52" s="55"/>
      <c r="AG52" s="55"/>
      <c r="AH52" s="55"/>
      <c r="AM52" s="121"/>
      <c r="AN52" s="121"/>
      <c r="AO52" s="121"/>
      <c r="AP52" s="121">
        <v>10</v>
      </c>
      <c r="AQ52" s="123">
        <v>1000</v>
      </c>
      <c r="AR52" s="123">
        <v>2800</v>
      </c>
      <c r="AS52" s="123">
        <v>1000</v>
      </c>
      <c r="AT52" s="123">
        <v>2800</v>
      </c>
      <c r="AU52" s="124"/>
      <c r="AV52" s="121"/>
      <c r="AW52" s="122"/>
    </row>
    <row r="53" spans="1:49" ht="13.15" customHeight="1">
      <c r="A53" s="59"/>
      <c r="G53" s="55" t="s">
        <v>103</v>
      </c>
      <c r="I53" s="57"/>
      <c r="J53" s="55">
        <f>SD_Vd1</f>
        <v>32</v>
      </c>
      <c r="K53" s="56" t="s">
        <v>104</v>
      </c>
      <c r="L53" s="54"/>
      <c r="U53" s="133"/>
      <c r="V53" s="57"/>
      <c r="AE53" s="55"/>
      <c r="AF53" s="55"/>
      <c r="AG53" s="55"/>
      <c r="AH53" s="55"/>
      <c r="AM53" s="121"/>
      <c r="AN53" s="121"/>
      <c r="AO53" s="121"/>
      <c r="AP53" s="121">
        <v>11</v>
      </c>
      <c r="AQ53" s="123">
        <v>2000</v>
      </c>
      <c r="AR53" s="123">
        <v>6000</v>
      </c>
      <c r="AS53" s="123">
        <v>2000</v>
      </c>
      <c r="AT53" s="123">
        <v>6000</v>
      </c>
      <c r="AU53" s="121"/>
      <c r="AV53" s="121"/>
      <c r="AW53" s="122"/>
    </row>
    <row r="54" spans="1:49" ht="13.15" customHeight="1">
      <c r="G54" s="55" t="s">
        <v>105</v>
      </c>
      <c r="I54" s="57"/>
      <c r="J54" s="55">
        <f>SD_Z1</f>
        <v>13.3</v>
      </c>
      <c r="K54" s="72" t="s">
        <v>106</v>
      </c>
      <c r="L54" s="30"/>
      <c r="M54" s="131"/>
      <c r="N54" s="128"/>
      <c r="O54" s="128"/>
      <c r="P54" s="131"/>
      <c r="Q54" s="132"/>
      <c r="R54" s="128"/>
      <c r="S54" s="132"/>
      <c r="T54" s="128"/>
      <c r="U54" s="133"/>
      <c r="V54" s="57"/>
      <c r="AE54" s="55"/>
      <c r="AF54" s="55"/>
      <c r="AG54" s="55"/>
      <c r="AH54" s="55"/>
      <c r="AM54" s="121"/>
      <c r="AN54" s="121"/>
      <c r="AO54" s="121"/>
      <c r="AP54" s="121">
        <v>12</v>
      </c>
      <c r="AQ54" s="123">
        <v>3000</v>
      </c>
      <c r="AR54" s="123">
        <v>8400</v>
      </c>
      <c r="AS54" s="123">
        <v>3000</v>
      </c>
      <c r="AT54" s="123">
        <v>8400</v>
      </c>
      <c r="AU54" s="121"/>
      <c r="AV54" s="121"/>
      <c r="AW54" s="122"/>
    </row>
    <row r="55" spans="1:49" ht="13.15" customHeight="1">
      <c r="B55" s="130" t="s">
        <v>42</v>
      </c>
      <c r="C55" s="57"/>
      <c r="D55" s="55"/>
      <c r="E55" s="56"/>
      <c r="G55" s="55" t="s">
        <v>108</v>
      </c>
      <c r="I55" s="57"/>
      <c r="J55" s="55">
        <f>ROUNDUP((SD_ZinstPH+SD_ZinstCPC),2)</f>
        <v>33.199999999999996</v>
      </c>
      <c r="K55" s="72" t="s">
        <v>106</v>
      </c>
      <c r="L55" s="30"/>
      <c r="M55" s="131"/>
      <c r="N55" s="128"/>
      <c r="O55" s="128"/>
      <c r="P55" s="131"/>
      <c r="Q55" s="132"/>
      <c r="R55" s="128"/>
      <c r="S55" s="132"/>
      <c r="T55" s="128"/>
      <c r="U55" s="128"/>
      <c r="V55" s="57"/>
      <c r="AE55" s="55"/>
      <c r="AF55" s="55"/>
      <c r="AG55" s="55"/>
      <c r="AH55" s="55"/>
      <c r="AM55" s="121"/>
      <c r="AN55" s="121"/>
      <c r="AO55" s="121"/>
      <c r="AP55" s="121">
        <v>13</v>
      </c>
      <c r="AQ55" s="123">
        <v>4000</v>
      </c>
      <c r="AR55" s="123">
        <v>10000</v>
      </c>
      <c r="AS55" s="123">
        <v>4000</v>
      </c>
      <c r="AT55" s="123">
        <v>10000</v>
      </c>
      <c r="AU55" s="121"/>
      <c r="AV55" s="121"/>
      <c r="AW55" s="122"/>
    </row>
    <row r="56" spans="1:49" ht="13.15" customHeight="1">
      <c r="B56" s="129" t="s">
        <v>47</v>
      </c>
      <c r="C56" s="57"/>
      <c r="D56" s="300">
        <f>P18</f>
        <v>3.13</v>
      </c>
      <c r="E56" s="286"/>
      <c r="G56" s="55" t="s">
        <v>64</v>
      </c>
      <c r="I56" s="57"/>
      <c r="J56" s="110">
        <f>AQ61</f>
        <v>128.11885299606598</v>
      </c>
      <c r="K56" s="56" t="s">
        <v>56</v>
      </c>
      <c r="L56" s="30" t="s">
        <v>130</v>
      </c>
      <c r="M56" s="131"/>
      <c r="N56" s="128"/>
      <c r="O56" s="128"/>
      <c r="P56" s="131"/>
      <c r="Q56" s="132"/>
      <c r="R56" s="128"/>
      <c r="S56" s="132"/>
      <c r="T56" s="128"/>
      <c r="U56" s="128"/>
      <c r="V56" s="57"/>
      <c r="AE56" s="55"/>
      <c r="AM56" s="121"/>
      <c r="AN56" s="121"/>
      <c r="AO56" s="121"/>
      <c r="AP56" s="121"/>
      <c r="AQ56" s="124"/>
      <c r="AR56" s="124"/>
      <c r="AS56" s="121"/>
      <c r="AT56" s="121"/>
      <c r="AU56" s="121"/>
      <c r="AV56" s="121"/>
      <c r="AW56" s="122"/>
    </row>
    <row r="57" spans="1:49" ht="13.15" customHeight="1" thickBot="1">
      <c r="B57" s="129" t="s">
        <v>53</v>
      </c>
      <c r="C57" s="57"/>
      <c r="D57" s="295">
        <f>SUM(N18:N37)</f>
        <v>112</v>
      </c>
      <c r="E57" s="286"/>
      <c r="F57" s="57"/>
      <c r="G57" s="55" t="s">
        <v>110</v>
      </c>
      <c r="I57" s="57"/>
      <c r="J57" s="110">
        <f>AU76</f>
        <v>70</v>
      </c>
      <c r="K57" s="56"/>
      <c r="L57" s="289" t="s">
        <v>135</v>
      </c>
      <c r="M57" s="296"/>
      <c r="N57" s="296"/>
      <c r="O57" s="296"/>
      <c r="P57" s="296"/>
      <c r="Q57" s="296"/>
      <c r="R57" s="296"/>
      <c r="S57" s="296"/>
      <c r="T57" s="296"/>
      <c r="U57" s="296"/>
      <c r="V57" s="57"/>
      <c r="AE57" s="55"/>
      <c r="AM57" s="121"/>
      <c r="AN57" s="121"/>
      <c r="AV57" s="121"/>
      <c r="AW57" s="122"/>
    </row>
    <row r="58" spans="1:49" ht="13.15" customHeight="1">
      <c r="B58" s="129" t="s">
        <v>57</v>
      </c>
      <c r="C58" s="57"/>
      <c r="D58" s="297">
        <f>X46</f>
        <v>1.86</v>
      </c>
      <c r="E58" s="298"/>
      <c r="G58" s="55" t="s">
        <v>111</v>
      </c>
      <c r="I58" s="57"/>
      <c r="J58" s="110">
        <f>143^2*SD_csa^2</f>
        <v>46010.25</v>
      </c>
      <c r="K58" s="56"/>
      <c r="L58" s="289" t="s">
        <v>182</v>
      </c>
      <c r="M58" s="290"/>
      <c r="N58" s="290"/>
      <c r="O58" s="290"/>
      <c r="P58" s="290"/>
      <c r="Q58" s="290"/>
      <c r="R58" s="290"/>
      <c r="S58" s="290"/>
      <c r="T58" s="290"/>
      <c r="U58" s="290"/>
      <c r="V58" s="57"/>
      <c r="AE58" s="55"/>
      <c r="AM58" s="135"/>
      <c r="AN58" s="136"/>
      <c r="AO58" s="136"/>
      <c r="AP58" s="137" t="s">
        <v>149</v>
      </c>
      <c r="AQ58" s="138">
        <f>U18</f>
        <v>311</v>
      </c>
      <c r="AR58" s="139"/>
      <c r="AS58" s="136"/>
      <c r="AT58" s="136"/>
      <c r="AU58" s="136"/>
      <c r="AV58" s="140"/>
      <c r="AW58" s="122"/>
    </row>
    <row r="59" spans="1:49" ht="13.15" customHeight="1">
      <c r="B59" s="129" t="s">
        <v>64</v>
      </c>
      <c r="C59" s="57"/>
      <c r="D59" s="299">
        <f>Y46</f>
        <v>128.11885299606598</v>
      </c>
      <c r="E59" s="286"/>
      <c r="G59" s="54" t="s">
        <v>113</v>
      </c>
      <c r="I59" s="57"/>
      <c r="J59" s="113" t="str">
        <f>Max_CPD2</f>
        <v>ü</v>
      </c>
      <c r="K59" s="56"/>
      <c r="L59" s="289" t="s">
        <v>141</v>
      </c>
      <c r="M59" s="290"/>
      <c r="N59" s="290"/>
      <c r="O59" s="290"/>
      <c r="P59" s="290"/>
      <c r="Q59" s="290"/>
      <c r="R59" s="290"/>
      <c r="S59" s="290"/>
      <c r="T59" s="290"/>
      <c r="U59" s="290"/>
      <c r="V59" s="57"/>
      <c r="AE59" s="55"/>
      <c r="AM59" s="141"/>
      <c r="AN59" s="142"/>
      <c r="AO59" s="142"/>
      <c r="AP59" s="143" t="s">
        <v>150</v>
      </c>
      <c r="AQ59" s="144">
        <f>U19</f>
        <v>245.01171090897441</v>
      </c>
      <c r="AR59" s="145"/>
      <c r="AS59" s="292" t="s">
        <v>159</v>
      </c>
      <c r="AT59" s="292"/>
      <c r="AU59" s="292"/>
      <c r="AV59" s="146"/>
      <c r="AW59" s="122"/>
    </row>
    <row r="60" spans="1:49" ht="13.15" customHeight="1">
      <c r="B60" s="129" t="s">
        <v>45</v>
      </c>
      <c r="C60" s="57"/>
      <c r="D60" s="293">
        <f>SUM(Q18:Q37)</f>
        <v>5.9263999999999992</v>
      </c>
      <c r="E60" s="286"/>
      <c r="L60" s="289" t="s">
        <v>183</v>
      </c>
      <c r="M60" s="290"/>
      <c r="N60" s="290"/>
      <c r="O60" s="290"/>
      <c r="P60" s="290"/>
      <c r="Q60" s="290"/>
      <c r="R60" s="290"/>
      <c r="S60" s="290"/>
      <c r="T60" s="290"/>
      <c r="U60" s="290"/>
      <c r="V60" s="57"/>
      <c r="AE60" s="55"/>
      <c r="AM60" s="141"/>
      <c r="AN60" s="142"/>
      <c r="AO60" s="142"/>
      <c r="AP60" s="143" t="s">
        <v>151</v>
      </c>
      <c r="AQ60" s="144">
        <f>Y46</f>
        <v>128.11885299606598</v>
      </c>
      <c r="AR60" s="145"/>
      <c r="AS60" s="142"/>
      <c r="AT60" s="142"/>
      <c r="AU60" s="142"/>
      <c r="AV60" s="146"/>
      <c r="AW60" s="122"/>
    </row>
    <row r="61" spans="1:49" ht="13.15" customHeight="1">
      <c r="B61" s="129" t="s">
        <v>58</v>
      </c>
      <c r="C61" s="57"/>
      <c r="D61" s="293">
        <f ca="1">V_Source-D60</f>
        <v>219.12860000000001</v>
      </c>
      <c r="E61" s="294"/>
      <c r="L61" s="289"/>
      <c r="M61" s="290"/>
      <c r="N61" s="290"/>
      <c r="O61" s="290"/>
      <c r="P61" s="290"/>
      <c r="Q61" s="290"/>
      <c r="R61" s="290"/>
      <c r="S61" s="290"/>
      <c r="T61" s="290"/>
      <c r="U61" s="290"/>
      <c r="V61" s="57"/>
      <c r="AE61" s="55"/>
      <c r="AM61" s="141"/>
      <c r="AN61" s="142"/>
      <c r="AO61" s="142"/>
      <c r="AP61" s="142" t="s">
        <v>152</v>
      </c>
      <c r="AQ61" s="144">
        <f>AQ60</f>
        <v>128.11885299606598</v>
      </c>
      <c r="AR61" s="145"/>
      <c r="AS61" s="142"/>
      <c r="AT61" s="142"/>
      <c r="AU61" s="142"/>
      <c r="AV61" s="146"/>
      <c r="AW61" s="122"/>
    </row>
    <row r="62" spans="1:49" ht="12.6" customHeight="1">
      <c r="AE62" s="55"/>
      <c r="AM62" s="141"/>
      <c r="AN62" s="142"/>
      <c r="AO62" s="142"/>
      <c r="AP62" s="142"/>
      <c r="AQ62" s="143" t="s">
        <v>153</v>
      </c>
      <c r="AR62" s="142"/>
      <c r="AS62" s="142" t="s">
        <v>154</v>
      </c>
      <c r="AT62" s="142"/>
      <c r="AU62" s="142" t="s">
        <v>155</v>
      </c>
      <c r="AV62" s="146"/>
      <c r="AW62" s="122"/>
    </row>
    <row r="63" spans="1:49" ht="12.6" customHeight="1">
      <c r="AE63" s="55"/>
      <c r="AK63" s="32"/>
      <c r="AM63" s="141"/>
      <c r="AN63" s="142"/>
      <c r="AO63" s="142"/>
      <c r="AP63" s="142">
        <v>13</v>
      </c>
      <c r="AQ63" s="143">
        <f>IF($AQ$58&gt;4000,AR55,0)</f>
        <v>0</v>
      </c>
      <c r="AR63" s="142"/>
      <c r="AS63" s="143">
        <f>IF($AQ$59&gt;4000,AT55,0)</f>
        <v>0</v>
      </c>
      <c r="AT63" s="142"/>
      <c r="AU63" s="143">
        <f>IF($AQ$60&gt;4000,AT55,0)</f>
        <v>0</v>
      </c>
      <c r="AV63" s="146"/>
      <c r="AW63" s="122"/>
    </row>
    <row r="64" spans="1:49" ht="12.6" customHeight="1">
      <c r="AE64" s="55"/>
      <c r="AK64" s="32"/>
      <c r="AM64" s="141"/>
      <c r="AN64" s="142"/>
      <c r="AO64" s="142"/>
      <c r="AP64" s="142">
        <v>12</v>
      </c>
      <c r="AQ64" s="143">
        <f>IF(AND($AQ$58&gt;=3000,$AQ$58&lt;4000),AR5:AR54,0)</f>
        <v>0</v>
      </c>
      <c r="AR64" s="142"/>
      <c r="AS64" s="143">
        <f>IF(AND($AQ$59&gt;=3000,$AQ$59&lt;4000),AT5:AT54,0)</f>
        <v>0</v>
      </c>
      <c r="AT64" s="142"/>
      <c r="AU64" s="143">
        <f>IF(AND($AQ$60&gt;=3000,$AQ$60&lt;4000),AT5:AT54,0)</f>
        <v>0</v>
      </c>
      <c r="AV64" s="146"/>
      <c r="AW64" s="122"/>
    </row>
    <row r="65" spans="31:49" ht="12.6" customHeight="1">
      <c r="AE65" s="55"/>
      <c r="AM65" s="141"/>
      <c r="AN65" s="142"/>
      <c r="AO65" s="142"/>
      <c r="AP65" s="142">
        <v>11</v>
      </c>
      <c r="AQ65" s="143">
        <f>IF(AND($AQ$58&gt;=2000,$AQ$58&lt;3000),AR53,0)</f>
        <v>0</v>
      </c>
      <c r="AR65" s="142"/>
      <c r="AS65" s="143">
        <f>IF(AND($AQ$59&gt;=2000,$AQ$59&lt;3000),AT53,0)</f>
        <v>0</v>
      </c>
      <c r="AT65" s="142"/>
      <c r="AU65" s="143">
        <f>IF(AND($AQ$60&gt;=2000,$AQ$60&lt;3000),AT53,0)</f>
        <v>0</v>
      </c>
      <c r="AV65" s="146"/>
      <c r="AW65" s="122"/>
    </row>
    <row r="66" spans="31:49" ht="12.6" customHeight="1">
      <c r="AE66" s="55"/>
      <c r="AM66" s="147"/>
      <c r="AN66" s="148"/>
      <c r="AO66" s="142"/>
      <c r="AP66" s="142">
        <v>10</v>
      </c>
      <c r="AQ66" s="143">
        <f>IF(AND($AQ$58&gt;=1000,$AQ$58&lt;2000),AR52,0)</f>
        <v>0</v>
      </c>
      <c r="AR66" s="142"/>
      <c r="AS66" s="143">
        <f>IF(AND($AQ$59&gt;=1000,$AQ$59&lt;2000),AT52,0)</f>
        <v>0</v>
      </c>
      <c r="AT66" s="142"/>
      <c r="AU66" s="143">
        <f>IF(AND($AQ$60&gt;=1000,$AQ$60&lt;2000),AT52,0)</f>
        <v>0</v>
      </c>
      <c r="AV66" s="146"/>
    </row>
    <row r="67" spans="31:49" ht="12.6" customHeight="1">
      <c r="AE67" s="55"/>
      <c r="AM67" s="147"/>
      <c r="AN67" s="148"/>
      <c r="AO67" s="148"/>
      <c r="AP67" s="142">
        <v>9</v>
      </c>
      <c r="AQ67" s="143">
        <f>IF(AND($AQ$58&gt;=900,$AQ$58&lt;1000),AR51,0)</f>
        <v>0</v>
      </c>
      <c r="AR67" s="142"/>
      <c r="AS67" s="143">
        <f>IF(AND($AQ$59&gt;=900,$AQ$59&lt;1000),AT51,0)</f>
        <v>0</v>
      </c>
      <c r="AT67" s="148"/>
      <c r="AU67" s="143">
        <f>IF(AND($AQ$60&gt;=900,$AQ$60&lt;1000),AT51,0)</f>
        <v>0</v>
      </c>
      <c r="AV67" s="146"/>
    </row>
    <row r="68" spans="31:49" ht="12.6" customHeight="1">
      <c r="AM68" s="147"/>
      <c r="AN68" s="148"/>
      <c r="AO68" s="148"/>
      <c r="AP68" s="142">
        <v>8</v>
      </c>
      <c r="AQ68" s="143">
        <f>IF(AND($AQ$58&gt;=800,$AQ$58&lt;900),AR50,0)</f>
        <v>0</v>
      </c>
      <c r="AR68" s="142"/>
      <c r="AS68" s="143">
        <f>IF(AND($AQ$59&gt;=800,$AQ$59&lt;900),AT50,0)</f>
        <v>0</v>
      </c>
      <c r="AT68" s="148"/>
      <c r="AU68" s="143">
        <f>IF(AND($AQ$60&gt;=800,$AQ$60&lt;900),AT50,0)</f>
        <v>0</v>
      </c>
      <c r="AV68" s="146"/>
    </row>
    <row r="69" spans="31:49" ht="12.6" customHeight="1">
      <c r="AM69" s="147"/>
      <c r="AN69" s="148"/>
      <c r="AO69" s="148"/>
      <c r="AP69" s="142">
        <v>7</v>
      </c>
      <c r="AQ69" s="143">
        <f>IF(AND($AQ$58&gt;=700,$AQ$58&lt;800),AR49,0)</f>
        <v>0</v>
      </c>
      <c r="AR69" s="142"/>
      <c r="AS69" s="143">
        <f>IF(AND($AQ$59&gt;=700,$AQ$59&lt;800),AT49,0)</f>
        <v>0</v>
      </c>
      <c r="AT69" s="148"/>
      <c r="AU69" s="143">
        <f>IF(AND($AQ$60&gt;=700,$AQ$60&lt;800),AT49,0)</f>
        <v>0</v>
      </c>
      <c r="AV69" s="146"/>
    </row>
    <row r="70" spans="31:49" ht="12.6" customHeight="1">
      <c r="AM70" s="147"/>
      <c r="AN70" s="148"/>
      <c r="AO70" s="148"/>
      <c r="AP70" s="142">
        <v>6</v>
      </c>
      <c r="AQ70" s="143">
        <f>IF(AND($AQ$58&gt;=600,$AQ$58&lt;700),AR48,0)</f>
        <v>0</v>
      </c>
      <c r="AR70" s="142"/>
      <c r="AS70" s="143">
        <f>IF(AND($AQ$59&gt;=600,$AQ$59&lt;700),AT48,0)</f>
        <v>0</v>
      </c>
      <c r="AT70" s="148"/>
      <c r="AU70" s="143">
        <f>IF(AND($AQ$60&gt;=600,$AQ$60&lt;700),AT48,0)</f>
        <v>0</v>
      </c>
      <c r="AV70" s="146"/>
    </row>
    <row r="71" spans="31:49" ht="12.6" customHeight="1">
      <c r="AM71" s="147"/>
      <c r="AN71" s="148"/>
      <c r="AO71" s="148"/>
      <c r="AP71" s="142">
        <v>5</v>
      </c>
      <c r="AQ71" s="143">
        <f>IF(AND($AQ$58&gt;=500,$AQ$58&lt;600),AR47,0)</f>
        <v>0</v>
      </c>
      <c r="AR71" s="142"/>
      <c r="AS71" s="143">
        <f>IF(AND($AQ$59&gt;=500,$AQ$59&lt;600),AT47,0)</f>
        <v>0</v>
      </c>
      <c r="AT71" s="148"/>
      <c r="AU71" s="143">
        <f>IF(AND($AQ$60&gt;=500,$AQ$60&lt;600),AT47,0)</f>
        <v>0</v>
      </c>
      <c r="AV71" s="146"/>
    </row>
    <row r="72" spans="31:49" ht="12.6" customHeight="1">
      <c r="AM72" s="147"/>
      <c r="AN72" s="148"/>
      <c r="AO72" s="148"/>
      <c r="AP72" s="142">
        <v>4</v>
      </c>
      <c r="AQ72" s="143">
        <f>IF(AND($AQ$58&gt;=400,$AQ$58&lt;500),AR46,0)</f>
        <v>0</v>
      </c>
      <c r="AR72" s="142"/>
      <c r="AS72" s="143">
        <f>IF(AND($AQ$59&gt;=400,$AQ$59&lt;500),AT46,0)</f>
        <v>0</v>
      </c>
      <c r="AT72" s="148"/>
      <c r="AU72" s="143">
        <f>IF(AND($AQ$60&gt;=400,$AQ$60&lt;500),AT46,0)</f>
        <v>0</v>
      </c>
      <c r="AV72" s="146"/>
    </row>
    <row r="73" spans="31:49" ht="12.6" customHeight="1">
      <c r="AM73" s="147"/>
      <c r="AN73" s="148"/>
      <c r="AO73" s="148"/>
      <c r="AP73" s="142">
        <v>3</v>
      </c>
      <c r="AQ73" s="143">
        <f>IF(AND($AQ$58&gt;=300,$AQ$58&lt;400),AR45,0)</f>
        <v>500</v>
      </c>
      <c r="AR73" s="142"/>
      <c r="AS73" s="143">
        <f>IF(AND($AQ$59&gt;=300,$AQ$59&lt;400),AT45,0)</f>
        <v>0</v>
      </c>
      <c r="AT73" s="148"/>
      <c r="AU73" s="143">
        <f>IF(AND($AQ$60&gt;=300,$AQ$60&lt;400),AT45,0)</f>
        <v>0</v>
      </c>
      <c r="AV73" s="146"/>
    </row>
    <row r="74" spans="31:49" ht="12.6" customHeight="1">
      <c r="AM74" s="147"/>
      <c r="AN74" s="148"/>
      <c r="AO74" s="148"/>
      <c r="AP74" s="142">
        <v>2</v>
      </c>
      <c r="AQ74" s="143">
        <f>IF(AND($AQ$58&gt;=200,$AQ$58&lt;300),AR44,0)</f>
        <v>0</v>
      </c>
      <c r="AR74" s="142"/>
      <c r="AS74" s="143">
        <f>IF(AND($AQ$59&gt;=200,$AQ$59&lt;300),AT44,0)</f>
        <v>300</v>
      </c>
      <c r="AT74" s="148"/>
      <c r="AU74" s="143">
        <f>IF(AND($AQ$60&gt;=200,$AQ$60&lt;300),AT44,0)</f>
        <v>0</v>
      </c>
      <c r="AV74" s="146"/>
    </row>
    <row r="75" spans="31:49" ht="12.6" customHeight="1">
      <c r="AF75" s="56"/>
      <c r="AG75" s="55"/>
      <c r="AM75" s="147"/>
      <c r="AN75" s="148"/>
      <c r="AO75" s="148"/>
      <c r="AP75" s="142">
        <v>1</v>
      </c>
      <c r="AQ75" s="143">
        <f>IF(AND($AQ$58&gt;=100,$AQ$58&lt;200),AR43,0)</f>
        <v>0</v>
      </c>
      <c r="AR75" s="142"/>
      <c r="AS75" s="143">
        <f>IF(AND($AQ$59&gt;=100,$AQ$59&lt;200),AT43,0)</f>
        <v>0</v>
      </c>
      <c r="AT75" s="148"/>
      <c r="AU75" s="143">
        <f>IF(AND($AQ$60&gt;=100,$AQ$60&lt;200),AT43,0)</f>
        <v>70</v>
      </c>
      <c r="AV75" s="146"/>
    </row>
    <row r="76" spans="31:49" ht="12.6" customHeight="1">
      <c r="AF76" s="55"/>
      <c r="AG76" s="55"/>
      <c r="AM76" s="147"/>
      <c r="AN76" s="148"/>
      <c r="AO76" s="148"/>
      <c r="AP76" s="142" t="s">
        <v>156</v>
      </c>
      <c r="AQ76" s="143">
        <f>SUM(AQ63:AQ75)</f>
        <v>500</v>
      </c>
      <c r="AR76" s="142"/>
      <c r="AS76" s="143">
        <f>SUM(AS63:AS75)</f>
        <v>300</v>
      </c>
      <c r="AT76" s="148"/>
      <c r="AU76" s="143">
        <f>SUM(AU63:AU75)</f>
        <v>70</v>
      </c>
      <c r="AV76" s="146"/>
    </row>
    <row r="77" spans="31:49" ht="12.6" customHeight="1" thickBot="1">
      <c r="AF77" s="55"/>
      <c r="AG77" s="55"/>
      <c r="AM77" s="149"/>
      <c r="AN77" s="150"/>
      <c r="AO77" s="150"/>
      <c r="AP77" s="150"/>
      <c r="AQ77" s="151"/>
      <c r="AR77" s="150"/>
      <c r="AS77" s="150"/>
      <c r="AT77" s="150"/>
      <c r="AU77" s="150"/>
      <c r="AV77" s="152"/>
    </row>
    <row r="78" spans="31:49" ht="12.6" customHeight="1">
      <c r="AF78" s="55"/>
      <c r="AG78" s="55"/>
    </row>
    <row r="79" spans="31:49" ht="12.6" customHeight="1">
      <c r="AF79" s="55"/>
      <c r="AG79" s="55"/>
    </row>
    <row r="80" spans="31:49" ht="12.6" customHeight="1">
      <c r="AF80" s="55"/>
      <c r="AG80" s="55"/>
    </row>
    <row r="81" spans="32:36" ht="12.6" customHeight="1">
      <c r="AF81" s="55"/>
      <c r="AG81" s="55"/>
      <c r="AH81" s="55"/>
      <c r="AI81" s="55"/>
      <c r="AJ81" s="55"/>
    </row>
    <row r="82" spans="32:36" ht="12.6" customHeight="1">
      <c r="AF82" s="55"/>
      <c r="AG82" s="55"/>
      <c r="AH82" s="55"/>
      <c r="AI82" s="55"/>
      <c r="AJ82" s="55"/>
    </row>
    <row r="83" spans="32:36" ht="12.6" customHeight="1">
      <c r="AF83" s="55"/>
      <c r="AG83" s="55"/>
      <c r="AH83" s="55"/>
      <c r="AI83" s="55"/>
      <c r="AJ83" s="55"/>
    </row>
    <row r="84" spans="32:36" ht="12.6" customHeight="1">
      <c r="AF84" s="55"/>
      <c r="AG84" s="55"/>
      <c r="AH84" s="55"/>
      <c r="AI84" s="55"/>
      <c r="AJ84" s="55"/>
    </row>
    <row r="85" spans="32:36" ht="12.6" customHeight="1">
      <c r="AF85" s="55"/>
      <c r="AG85" s="55"/>
      <c r="AH85" s="55"/>
      <c r="AI85" s="55"/>
      <c r="AJ85" s="55"/>
    </row>
    <row r="86" spans="32:36" ht="12.6" customHeight="1">
      <c r="AF86" s="55"/>
      <c r="AG86" s="55"/>
      <c r="AH86" s="55"/>
      <c r="AI86" s="55"/>
      <c r="AJ86" s="55"/>
    </row>
    <row r="87" spans="32:36" ht="12.6" customHeight="1">
      <c r="AF87" s="55"/>
      <c r="AG87" s="55"/>
      <c r="AH87" s="55"/>
      <c r="AI87" s="55"/>
      <c r="AJ87" s="55"/>
    </row>
    <row r="88" spans="32:36" ht="12.6" customHeight="1"/>
    <row r="89" spans="32:36" ht="12.6" customHeight="1">
      <c r="AF89" s="55"/>
      <c r="AG89" s="55"/>
      <c r="AH89" s="55"/>
    </row>
    <row r="90" spans="32:36" ht="12.6" customHeight="1">
      <c r="AF90" s="55"/>
      <c r="AG90" s="55"/>
      <c r="AH90" s="55"/>
    </row>
    <row r="91" spans="32:36" ht="12.6" customHeight="1">
      <c r="AF91" s="55"/>
      <c r="AG91" s="55"/>
      <c r="AH91" s="55"/>
    </row>
    <row r="92" spans="32:36" ht="12.6" customHeight="1">
      <c r="AF92" s="55"/>
      <c r="AG92" s="55"/>
      <c r="AH92" s="55"/>
    </row>
    <row r="93" spans="32:36" ht="12.6" customHeight="1">
      <c r="AF93" s="55"/>
      <c r="AG93" s="55"/>
      <c r="AH93" s="55"/>
    </row>
    <row r="94" spans="32:36" ht="12.6" customHeight="1">
      <c r="AF94" s="41"/>
      <c r="AG94" s="41"/>
    </row>
    <row r="95" spans="32:36" ht="12.6" customHeight="1">
      <c r="AF95" s="41"/>
      <c r="AG95" s="41"/>
    </row>
    <row r="96" spans="32:36" ht="12.6" customHeight="1">
      <c r="AF96" s="41"/>
      <c r="AG96" s="41"/>
    </row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spans="1:10" ht="12.6" customHeight="1">
      <c r="A113" s="289"/>
      <c r="B113" s="290"/>
      <c r="C113" s="290"/>
      <c r="D113" s="290"/>
      <c r="E113" s="290"/>
      <c r="F113" s="290"/>
      <c r="G113" s="290"/>
      <c r="H113" s="290"/>
      <c r="I113" s="290"/>
      <c r="J113" s="290"/>
    </row>
    <row r="114" spans="1:10" ht="12.6" customHeight="1">
      <c r="A114" s="289"/>
      <c r="B114" s="290"/>
      <c r="C114" s="290"/>
      <c r="D114" s="290"/>
      <c r="E114" s="290"/>
      <c r="F114" s="290"/>
      <c r="G114" s="290"/>
      <c r="H114" s="290"/>
      <c r="I114" s="290"/>
      <c r="J114" s="290"/>
    </row>
    <row r="115" spans="1:10" ht="12.6" customHeight="1">
      <c r="A115" s="289"/>
      <c r="B115" s="290"/>
      <c r="C115" s="290"/>
      <c r="D115" s="290"/>
      <c r="E115" s="290"/>
      <c r="F115" s="290"/>
      <c r="G115" s="290"/>
      <c r="H115" s="290"/>
      <c r="I115" s="290"/>
      <c r="J115" s="290"/>
    </row>
    <row r="116" spans="1:10" ht="12.6" customHeight="1">
      <c r="A116" s="289"/>
      <c r="B116" s="290"/>
      <c r="C116" s="290"/>
      <c r="D116" s="290"/>
      <c r="E116" s="290"/>
      <c r="F116" s="290"/>
      <c r="G116" s="290"/>
      <c r="H116" s="290"/>
      <c r="I116" s="290"/>
      <c r="J116" s="290"/>
    </row>
    <row r="117" spans="1:10" ht="12.6" customHeight="1"/>
    <row r="118" spans="1:10" ht="12.6" customHeight="1"/>
    <row r="119" spans="1:10" ht="12.6" customHeight="1"/>
    <row r="120" spans="1:10" ht="12.6" customHeight="1"/>
    <row r="121" spans="1:10" ht="12.6" customHeight="1"/>
    <row r="122" spans="1:10" ht="12.6" customHeight="1"/>
    <row r="123" spans="1:10" ht="12.6" customHeight="1"/>
    <row r="124" spans="1:10" ht="12.6" customHeight="1">
      <c r="E124" s="7"/>
    </row>
    <row r="125" spans="1:10" ht="12.6" customHeight="1"/>
    <row r="126" spans="1:10" ht="12.6" customHeight="1"/>
    <row r="127" spans="1:10" ht="12.6" customHeight="1"/>
    <row r="128" spans="1:10" ht="12.6" customHeight="1">
      <c r="D128" s="117"/>
    </row>
    <row r="129" spans="4:28" ht="12.6" customHeight="1">
      <c r="D129" s="117"/>
    </row>
    <row r="130" spans="4:28" ht="12.6" customHeight="1">
      <c r="D130" s="117"/>
    </row>
    <row r="131" spans="4:28" ht="12.6" customHeight="1">
      <c r="D131" s="117"/>
    </row>
    <row r="132" spans="4:28" ht="12.6" customHeight="1">
      <c r="D132" s="117"/>
      <c r="E132" s="7"/>
    </row>
    <row r="133" spans="4:28" ht="12.6" customHeight="1">
      <c r="D133" s="117"/>
      <c r="E133" s="7"/>
    </row>
    <row r="134" spans="4:28" ht="12.6" customHeight="1">
      <c r="D134" s="117"/>
      <c r="E134" s="7"/>
    </row>
    <row r="135" spans="4:28" ht="12.6" customHeight="1">
      <c r="D135" s="117"/>
      <c r="E135" s="7"/>
    </row>
    <row r="136" spans="4:28" ht="12.6" customHeight="1">
      <c r="D136" s="117"/>
      <c r="E136" s="7"/>
    </row>
    <row r="137" spans="4:28" ht="12.6" customHeight="1">
      <c r="D137" s="117"/>
      <c r="E137" s="7"/>
    </row>
    <row r="138" spans="4:28" ht="12.6" customHeight="1">
      <c r="D138" s="117"/>
      <c r="E138" s="7"/>
      <c r="F138" s="289"/>
      <c r="G138" s="291"/>
      <c r="H138" s="291"/>
      <c r="I138" s="291"/>
      <c r="J138" s="291"/>
      <c r="K138" s="291"/>
      <c r="L138" s="291"/>
      <c r="M138" s="291"/>
      <c r="N138" s="291"/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291"/>
      <c r="AA138" s="291"/>
      <c r="AB138" s="291"/>
    </row>
    <row r="139" spans="4:28" ht="12.6" customHeight="1">
      <c r="E139" s="7"/>
      <c r="F139" s="289"/>
      <c r="G139" s="291"/>
      <c r="H139" s="291"/>
      <c r="I139" s="291"/>
      <c r="J139" s="291"/>
      <c r="K139" s="291"/>
      <c r="L139" s="291"/>
      <c r="M139" s="291"/>
      <c r="N139" s="291"/>
      <c r="O139" s="291"/>
      <c r="P139" s="291"/>
      <c r="Q139" s="291"/>
      <c r="R139" s="291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</row>
    <row r="140" spans="4:28" ht="12.6" customHeight="1">
      <c r="G140" s="126"/>
      <c r="H140" s="126"/>
      <c r="I140" s="126"/>
      <c r="J140" s="126"/>
      <c r="K140" s="126"/>
      <c r="AB140" s="126"/>
    </row>
    <row r="141" spans="4:28" ht="12.6" customHeight="1"/>
    <row r="142" spans="4:28" ht="12.6" customHeight="1"/>
    <row r="143" spans="4:28" ht="12.6" customHeight="1">
      <c r="J143" s="55"/>
      <c r="K143" s="55"/>
    </row>
    <row r="144" spans="4:28" ht="12.6" customHeight="1"/>
    <row r="145" spans="10:11" ht="12.6" customHeight="1"/>
    <row r="146" spans="10:11" ht="12.6" customHeight="1">
      <c r="J146" s="55"/>
      <c r="K146" s="55"/>
    </row>
    <row r="147" spans="10:11" ht="12.6" customHeight="1">
      <c r="J147" s="55"/>
      <c r="K147" s="55"/>
    </row>
    <row r="148" spans="10:11" ht="12.6" customHeight="1">
      <c r="J148" s="55"/>
      <c r="K148" s="55"/>
    </row>
    <row r="149" spans="10:11" ht="12.6" customHeight="1">
      <c r="J149" s="55"/>
      <c r="K149" s="55"/>
    </row>
    <row r="150" spans="10:11" ht="12.6" customHeight="1">
      <c r="J150" s="55"/>
      <c r="K150" s="55"/>
    </row>
    <row r="151" spans="10:11" ht="12.6" customHeight="1">
      <c r="J151" s="55"/>
      <c r="K151" s="55"/>
    </row>
    <row r="152" spans="10:11" ht="12.6" customHeight="1">
      <c r="J152" s="55"/>
      <c r="K152" s="55"/>
    </row>
    <row r="153" spans="10:11" ht="12.6" customHeight="1">
      <c r="J153" s="55"/>
      <c r="K153" s="55"/>
    </row>
    <row r="154" spans="10:11" ht="12.6" customHeight="1">
      <c r="J154" s="55"/>
      <c r="K154" s="55"/>
    </row>
    <row r="155" spans="10:11" ht="12.6" customHeight="1">
      <c r="J155" s="55"/>
      <c r="K155" s="55"/>
    </row>
    <row r="156" spans="10:11" ht="12.6" customHeight="1">
      <c r="J156" s="55"/>
      <c r="K156" s="55"/>
    </row>
    <row r="157" spans="10:11" ht="12.6" customHeight="1">
      <c r="J157" s="55"/>
      <c r="K157" s="55"/>
    </row>
    <row r="158" spans="10:11" ht="12.6" customHeight="1">
      <c r="J158" s="55"/>
      <c r="K158" s="55"/>
    </row>
    <row r="159" spans="10:11" ht="12.6" customHeight="1">
      <c r="J159" s="55"/>
      <c r="K159" s="55"/>
    </row>
    <row r="160" spans="10:11" ht="12.6" customHeight="1">
      <c r="J160" s="55"/>
      <c r="K160" s="55"/>
    </row>
    <row r="161" spans="10:28" ht="12.6" customHeight="1">
      <c r="J161" s="55"/>
      <c r="K161" s="55"/>
    </row>
    <row r="162" spans="10:28" ht="12.6" customHeight="1">
      <c r="J162" s="55"/>
      <c r="K162" s="55"/>
    </row>
    <row r="163" spans="10:28" ht="12.6" customHeight="1">
      <c r="J163" s="55"/>
      <c r="K163" s="55"/>
    </row>
    <row r="164" spans="10:28" ht="12.6" customHeight="1">
      <c r="J164" s="55"/>
      <c r="K164" s="55"/>
    </row>
    <row r="165" spans="10:28" ht="12.6" customHeight="1">
      <c r="J165" s="55"/>
      <c r="K165" s="55"/>
    </row>
    <row r="166" spans="10:28" ht="12.6" customHeight="1">
      <c r="J166" s="55"/>
      <c r="K166" s="55"/>
    </row>
    <row r="167" spans="10:28" ht="12.6" customHeight="1">
      <c r="J167" s="55"/>
      <c r="K167" s="55"/>
    </row>
    <row r="168" spans="10:28" ht="12.6" customHeight="1">
      <c r="J168" s="55"/>
      <c r="K168" s="55"/>
    </row>
    <row r="169" spans="10:28" ht="12.6" customHeight="1">
      <c r="J169" s="55"/>
      <c r="K169" s="55"/>
    </row>
    <row r="170" spans="10:28" ht="12.6" customHeight="1">
      <c r="J170" s="55"/>
      <c r="K170" s="55"/>
    </row>
    <row r="171" spans="10:28" ht="12.6" customHeight="1">
      <c r="J171" s="55"/>
      <c r="K171" s="55"/>
    </row>
    <row r="172" spans="10:28" ht="12.6" customHeight="1">
      <c r="J172" s="55"/>
      <c r="K172" s="55"/>
    </row>
    <row r="173" spans="10:28" ht="12.6" customHeight="1">
      <c r="J173" s="55"/>
      <c r="K173" s="55"/>
    </row>
    <row r="174" spans="10:28" ht="12.6" customHeight="1">
      <c r="J174" s="55"/>
      <c r="K174" s="55"/>
    </row>
    <row r="175" spans="10:28" ht="12.6" customHeight="1">
      <c r="K175" s="68"/>
      <c r="AB175" s="11"/>
    </row>
    <row r="176" spans="10:28" ht="12.6" customHeight="1">
      <c r="J176" s="127"/>
      <c r="K176" s="68"/>
      <c r="AB176" s="11"/>
    </row>
    <row r="177" spans="10:28" ht="12.6" customHeight="1">
      <c r="J177" s="278"/>
      <c r="K177" s="68"/>
      <c r="AB177" s="11"/>
    </row>
    <row r="178" spans="10:28" ht="12.6" customHeight="1"/>
    <row r="179" spans="10:28" ht="12.6" customHeight="1"/>
    <row r="180" spans="10:28" ht="12.6" customHeight="1"/>
    <row r="181" spans="10:28" ht="12.6" customHeight="1"/>
    <row r="182" spans="10:28" ht="12.6" customHeight="1"/>
    <row r="183" spans="10:28" ht="12.6" customHeight="1"/>
    <row r="184" spans="10:28" ht="12.6" customHeight="1"/>
    <row r="185" spans="10:28" ht="12.6" customHeight="1"/>
    <row r="186" spans="10:28" ht="12.6" customHeight="1"/>
    <row r="187" spans="10:28" ht="12.6" customHeight="1"/>
    <row r="188" spans="10:28" ht="12.6" customHeight="1"/>
    <row r="189" spans="10:28" ht="12.6" customHeight="1"/>
    <row r="190" spans="10:28" ht="12.6" customHeight="1"/>
    <row r="191" spans="10:28" ht="12.6" customHeight="1"/>
    <row r="192" spans="10:28" ht="12.6" customHeight="1"/>
    <row r="193" ht="12.6" customHeight="1"/>
    <row r="194" ht="12.6" customHeight="1"/>
    <row r="195" ht="12.6" customHeight="1"/>
    <row r="196" ht="12.6" customHeight="1"/>
    <row r="197" ht="12.6" customHeight="1"/>
    <row r="198" ht="12.6" customHeight="1"/>
    <row r="199" ht="12.6" customHeight="1"/>
    <row r="200" ht="12.6" customHeight="1"/>
    <row r="201" ht="12.6" customHeight="1"/>
    <row r="202" ht="12.6" customHeight="1"/>
    <row r="203" ht="12.6" customHeight="1"/>
    <row r="204" ht="12.6" customHeight="1"/>
    <row r="205" ht="12.6" customHeight="1"/>
    <row r="206" ht="12.6" customHeight="1"/>
    <row r="207" ht="12.6" customHeight="1"/>
    <row r="208" ht="12.6" customHeight="1"/>
    <row r="209" ht="12.6" customHeight="1"/>
    <row r="210" ht="12.6" customHeight="1"/>
    <row r="211" ht="12.6" customHeight="1"/>
    <row r="212" ht="12.6" customHeight="1"/>
    <row r="213" ht="12.6" customHeight="1"/>
    <row r="214" ht="12.6" customHeight="1"/>
    <row r="215" ht="12.6" customHeight="1"/>
    <row r="216" ht="12.6" customHeight="1"/>
    <row r="217" ht="12.6" customHeight="1"/>
    <row r="218" ht="12.6" customHeight="1"/>
    <row r="219" ht="12.6" customHeight="1"/>
    <row r="220" ht="12.6" customHeight="1"/>
    <row r="221" ht="12.6" customHeight="1"/>
    <row r="222" ht="12.6" customHeight="1"/>
    <row r="223" ht="12.6" customHeight="1"/>
    <row r="224" ht="12.6" customHeight="1"/>
    <row r="225" ht="12.6" customHeight="1"/>
    <row r="226" ht="12.6" customHeight="1"/>
    <row r="227" ht="12.6" customHeight="1"/>
    <row r="228" ht="12.6" customHeight="1"/>
    <row r="229" ht="12.6" customHeight="1"/>
    <row r="230" ht="12.6" customHeight="1"/>
    <row r="231" ht="12.6" customHeight="1"/>
    <row r="232" ht="12.6" customHeight="1"/>
    <row r="233" ht="12.6" customHeight="1"/>
    <row r="234" ht="12.6" customHeight="1"/>
    <row r="235" ht="12.6" customHeight="1"/>
    <row r="236" ht="12.6" customHeight="1"/>
    <row r="237" ht="12.6" customHeight="1"/>
    <row r="238" ht="12.6" customHeight="1"/>
    <row r="239" ht="12.6" customHeight="1"/>
    <row r="240" ht="12.6" customHeight="1"/>
    <row r="241" ht="12.6" customHeight="1"/>
    <row r="242" ht="12.6" customHeight="1"/>
    <row r="243" ht="12.6" customHeight="1"/>
    <row r="244" ht="12.6" customHeight="1"/>
    <row r="245" ht="12.6" customHeight="1"/>
    <row r="246" ht="12.6" customHeight="1"/>
    <row r="247" ht="12.6" customHeight="1"/>
    <row r="248" ht="12.6" customHeight="1"/>
    <row r="249" ht="12.6" customHeight="1"/>
    <row r="250" ht="12.6" customHeight="1"/>
    <row r="251" ht="12.6" customHeight="1"/>
    <row r="252" ht="12.6" customHeight="1"/>
    <row r="253" ht="12.6" customHeight="1"/>
    <row r="254" ht="12.6" customHeight="1"/>
    <row r="255" ht="12.6" customHeight="1"/>
    <row r="256" ht="12.6" customHeight="1"/>
    <row r="257" ht="12.6" customHeight="1"/>
    <row r="258" ht="12.6" customHeight="1"/>
    <row r="259" ht="12.6" customHeight="1"/>
    <row r="260" ht="12.6" customHeight="1"/>
    <row r="261" ht="12.6" customHeight="1"/>
    <row r="262" ht="12.6" customHeight="1"/>
    <row r="263" ht="12.6" customHeight="1"/>
    <row r="264" ht="12.6" customHeight="1"/>
    <row r="265" ht="12.6" customHeight="1"/>
    <row r="266" ht="12.6" customHeight="1"/>
    <row r="267" ht="12.6" customHeight="1"/>
    <row r="268" ht="12.6" customHeight="1"/>
    <row r="269" ht="12.6" customHeight="1"/>
    <row r="270" ht="12.6" customHeight="1"/>
    <row r="271" ht="12.6" customHeight="1"/>
    <row r="272" ht="12.6" customHeight="1"/>
    <row r="273" ht="12.6" customHeight="1"/>
    <row r="274" ht="12.6" customHeight="1"/>
    <row r="275" ht="12.6" customHeight="1"/>
    <row r="276" ht="12.6" customHeight="1"/>
    <row r="277" ht="12.6" customHeight="1"/>
    <row r="278" ht="12.6" customHeight="1"/>
    <row r="279" ht="12.6" customHeight="1"/>
    <row r="280" ht="12.6" customHeight="1"/>
    <row r="281" ht="12.6" customHeight="1"/>
    <row r="282" ht="12.6" customHeight="1"/>
    <row r="283" ht="12.6" customHeight="1"/>
    <row r="284" ht="12.6" customHeight="1"/>
    <row r="285" ht="12.6" customHeight="1"/>
    <row r="286" ht="12.6" customHeight="1"/>
    <row r="287" ht="12.6" customHeight="1"/>
    <row r="288" ht="12.6" customHeight="1"/>
    <row r="289" ht="12.6" customHeight="1"/>
    <row r="290" ht="12.6" customHeight="1"/>
    <row r="291" ht="12.6" customHeight="1"/>
    <row r="292" ht="12.6" customHeight="1"/>
    <row r="293" ht="12.6" customHeight="1"/>
    <row r="294" ht="12.6" customHeight="1"/>
    <row r="295" ht="12.6" customHeight="1"/>
    <row r="296" ht="12.6" customHeight="1"/>
    <row r="297" ht="12.6" customHeight="1"/>
    <row r="298" ht="12.6" customHeight="1"/>
    <row r="299" ht="12.6" customHeight="1"/>
    <row r="300" ht="12.6" customHeight="1"/>
    <row r="301" ht="12.6" customHeight="1"/>
    <row r="302" ht="12.6" customHeight="1"/>
    <row r="303" ht="12.6" customHeight="1"/>
    <row r="304" ht="12.6" customHeight="1"/>
    <row r="305" ht="12.6" customHeight="1"/>
    <row r="306" ht="12.6" customHeight="1"/>
    <row r="307" ht="12.6" customHeight="1"/>
    <row r="308" ht="12.6" customHeight="1"/>
    <row r="309" ht="12.6" customHeight="1"/>
    <row r="310" ht="12.6" customHeight="1"/>
    <row r="311" ht="12.6" customHeight="1"/>
    <row r="312" ht="12.6" customHeight="1"/>
    <row r="313" ht="12.6" customHeight="1"/>
    <row r="314" ht="12.6" customHeight="1"/>
    <row r="315" ht="12.6" customHeight="1"/>
    <row r="316" ht="12.6" customHeight="1"/>
    <row r="317" ht="12.6" customHeight="1"/>
    <row r="318" ht="12.6" customHeight="1"/>
    <row r="319" ht="12.6" customHeight="1"/>
    <row r="320" ht="12.6" customHeight="1"/>
    <row r="321" ht="12.6" customHeight="1"/>
    <row r="322" ht="12.6" customHeight="1"/>
    <row r="323" ht="12.6" customHeight="1"/>
    <row r="324" ht="12.6" customHeight="1"/>
    <row r="325" ht="12.6" customHeight="1"/>
    <row r="326" ht="12.6" customHeight="1"/>
    <row r="327" ht="12.6" customHeight="1"/>
    <row r="328" ht="12.6" customHeight="1"/>
    <row r="329" ht="12.6" customHeight="1"/>
    <row r="330" ht="12.6" customHeight="1"/>
    <row r="331" ht="12.6" customHeight="1"/>
    <row r="332" ht="12.6" customHeight="1"/>
    <row r="333" ht="12.6" customHeight="1"/>
    <row r="334" ht="12.6" customHeight="1"/>
    <row r="335" ht="12.6" customHeight="1"/>
    <row r="336" ht="12.6" customHeight="1"/>
    <row r="337" ht="12.6" customHeight="1"/>
    <row r="338" ht="12.6" customHeight="1"/>
    <row r="339" ht="12.6" customHeight="1"/>
    <row r="340" ht="12.6" customHeight="1"/>
    <row r="341" ht="12.6" customHeight="1"/>
    <row r="342" ht="12.6" customHeight="1"/>
    <row r="343" ht="12.6" customHeight="1"/>
    <row r="344" ht="12.6" customHeight="1"/>
    <row r="345" ht="12.6" customHeight="1"/>
    <row r="346" ht="12.6" customHeight="1"/>
    <row r="347" ht="12.6" customHeight="1"/>
    <row r="348" ht="12.6" customHeight="1"/>
    <row r="349" ht="12.6" customHeight="1"/>
    <row r="350" ht="12.6" customHeight="1"/>
    <row r="351" ht="12.6" customHeight="1"/>
    <row r="352" ht="12.6" customHeight="1"/>
    <row r="353" ht="12.6" customHeight="1"/>
    <row r="354" ht="12.6" customHeight="1"/>
    <row r="355" ht="12.6" customHeight="1"/>
    <row r="356" ht="12.6" customHeight="1"/>
    <row r="357" ht="12.6" customHeight="1"/>
    <row r="358" ht="12.6" customHeight="1"/>
    <row r="359" ht="12.6" customHeight="1"/>
    <row r="360" ht="12.6" customHeight="1"/>
    <row r="361" ht="12.6" customHeight="1"/>
    <row r="362" ht="12.6" customHeight="1"/>
    <row r="363" ht="12.6" customHeight="1"/>
    <row r="364" ht="12.6" customHeight="1"/>
    <row r="365" ht="12.6" customHeight="1"/>
    <row r="366" ht="12.6" customHeight="1"/>
    <row r="367" ht="12.6" customHeight="1"/>
    <row r="368" ht="12.6" customHeight="1"/>
    <row r="369" ht="12.6" customHeight="1"/>
    <row r="370" ht="12.6" customHeight="1"/>
    <row r="371" ht="12.6" customHeight="1"/>
    <row r="372" ht="12.6" customHeight="1"/>
    <row r="373" ht="12.6" customHeight="1"/>
    <row r="374" ht="12.6" customHeight="1"/>
    <row r="375" ht="12.6" customHeight="1"/>
    <row r="376" ht="12.6" customHeight="1"/>
    <row r="377" ht="12.6" customHeight="1"/>
    <row r="378" ht="12.6" customHeight="1"/>
    <row r="379" ht="12.6" customHeight="1"/>
    <row r="380" ht="12.6" customHeight="1"/>
    <row r="381" ht="12.6" customHeight="1"/>
    <row r="382" ht="12.6" customHeight="1"/>
    <row r="383" ht="12.6" customHeight="1"/>
    <row r="384" ht="12.6" customHeight="1"/>
    <row r="385" ht="12.6" customHeight="1"/>
    <row r="386" ht="12.6" customHeight="1"/>
    <row r="387" ht="12.6" customHeight="1"/>
    <row r="388" ht="12.6" customHeight="1"/>
    <row r="389" ht="12.6" customHeight="1"/>
    <row r="390" ht="12.6" customHeight="1"/>
    <row r="391" ht="12.6" customHeight="1"/>
    <row r="392" ht="12.6" customHeight="1"/>
    <row r="393" ht="12.6" customHeight="1"/>
    <row r="394" ht="12.6" customHeight="1"/>
    <row r="395" ht="12.6" customHeight="1"/>
    <row r="396" ht="12.6" customHeight="1"/>
    <row r="397" ht="12.6" customHeight="1"/>
    <row r="398" ht="12.6" customHeight="1"/>
    <row r="399" ht="12.6" customHeight="1"/>
    <row r="400" ht="12.6" customHeight="1"/>
    <row r="401" ht="12.6" customHeight="1"/>
    <row r="402" ht="12.6" customHeight="1"/>
    <row r="403" ht="12.6" customHeight="1"/>
    <row r="404" ht="12.6" customHeight="1"/>
    <row r="405" ht="12.6" customHeight="1"/>
    <row r="406" ht="12.6" customHeight="1"/>
    <row r="407" ht="12.6" customHeight="1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  <row r="1001" ht="14.25"/>
    <row r="1002" ht="14.25"/>
    <row r="1003" ht="14.25"/>
    <row r="1004" ht="14.25"/>
    <row r="1005" ht="14.25"/>
    <row r="1006" ht="14.25"/>
    <row r="1007" ht="14.25"/>
    <row r="1008" ht="14.25"/>
    <row r="1009" ht="14.25"/>
    <row r="1010" ht="14.25"/>
    <row r="1011" ht="14.25"/>
    <row r="1012" ht="14.25"/>
    <row r="1013" ht="14.25"/>
    <row r="1014" ht="14.25"/>
    <row r="1015" ht="14.25"/>
    <row r="1016" ht="14.25"/>
    <row r="1017" ht="14.25"/>
    <row r="1018" ht="14.25"/>
    <row r="1019" ht="14.25"/>
    <row r="1020" ht="14.25"/>
    <row r="1021" ht="14.25"/>
    <row r="1022" ht="14.25"/>
    <row r="1023" ht="14.25"/>
    <row r="1024" ht="14.25"/>
    <row r="1025" ht="14.25"/>
    <row r="1026" ht="14.25"/>
    <row r="1027" ht="14.25"/>
    <row r="1028" ht="14.25"/>
    <row r="1029" ht="14.25"/>
    <row r="1030" ht="14.25"/>
    <row r="1031" ht="14.25"/>
    <row r="1032" ht="14.25"/>
    <row r="1033" ht="14.25"/>
    <row r="1034" ht="14.25"/>
    <row r="1035" ht="14.25"/>
    <row r="1036" ht="14.25"/>
    <row r="1037" ht="14.25"/>
    <row r="1038" ht="14.25"/>
    <row r="1039" ht="14.25"/>
    <row r="1040" ht="14.25"/>
    <row r="1041" ht="14.25"/>
    <row r="1042" ht="14.25"/>
    <row r="1043" ht="14.25"/>
    <row r="1044" ht="14.25"/>
    <row r="1045" ht="14.25"/>
    <row r="1046" ht="14.25"/>
    <row r="1047" ht="14.25"/>
    <row r="1048" ht="14.25"/>
    <row r="1049" ht="14.25"/>
    <row r="1050" ht="14.25"/>
    <row r="1051" ht="14.25"/>
    <row r="1052" ht="14.25"/>
    <row r="1053" ht="14.25"/>
    <row r="1054" ht="14.25"/>
    <row r="1055" ht="14.25"/>
    <row r="1056" ht="14.25"/>
    <row r="1057" ht="14.25"/>
    <row r="1058" ht="14.25"/>
    <row r="1059" ht="14.25"/>
    <row r="1060" ht="14.25"/>
    <row r="1061" ht="14.25"/>
    <row r="1062" ht="14.25"/>
    <row r="1063" ht="14.25"/>
    <row r="1064" ht="14.25"/>
    <row r="1065" ht="14.25"/>
    <row r="1066" ht="14.25"/>
    <row r="1067" ht="14.25"/>
    <row r="1068" ht="14.25"/>
    <row r="1069" ht="14.25"/>
    <row r="1070" ht="14.25"/>
    <row r="1071" ht="14.25"/>
    <row r="1072" ht="14.25"/>
    <row r="1073" ht="14.25"/>
    <row r="1074" ht="14.25"/>
    <row r="1075" ht="14.25"/>
    <row r="1076" ht="14.25"/>
    <row r="1077" ht="14.25"/>
    <row r="1078" ht="14.25"/>
    <row r="1079" ht="14.25"/>
    <row r="1080" ht="14.25"/>
    <row r="1081" ht="14.25"/>
    <row r="1082" ht="14.25"/>
    <row r="1083" ht="14.25"/>
    <row r="1084" ht="14.25"/>
    <row r="1085" ht="14.25"/>
    <row r="1086" ht="14.25"/>
    <row r="1087" ht="14.25"/>
    <row r="1088" ht="14.25"/>
    <row r="1089" ht="14.25"/>
    <row r="1090" ht="14.25"/>
    <row r="1091" ht="14.25"/>
    <row r="1092" ht="14.25"/>
    <row r="1093" ht="14.25"/>
    <row r="1094" ht="14.25"/>
    <row r="1095" ht="14.25"/>
    <row r="1096" ht="14.25"/>
    <row r="1097" ht="14.25"/>
    <row r="1098" ht="14.25"/>
    <row r="1099" ht="14.25"/>
    <row r="1100" ht="14.25"/>
    <row r="1101" ht="14.25"/>
    <row r="1102" ht="14.25"/>
    <row r="1103" ht="14.25"/>
    <row r="1104" ht="14.25"/>
    <row r="1105" ht="14.25"/>
    <row r="1106" ht="14.25"/>
    <row r="1107" ht="14.25"/>
    <row r="1108" ht="14.25"/>
    <row r="1109" ht="14.25"/>
    <row r="1110" ht="14.25"/>
    <row r="1111" ht="14.25"/>
    <row r="1112" ht="14.25"/>
    <row r="1113" ht="14.25"/>
    <row r="1114" ht="14.25"/>
    <row r="1115" ht="14.25"/>
    <row r="1116" ht="14.25"/>
    <row r="1117" ht="14.25"/>
    <row r="1118" ht="14.25"/>
    <row r="1119" ht="14.25"/>
    <row r="1120" ht="14.25"/>
    <row r="1121" ht="14.25"/>
    <row r="1122" ht="14.25"/>
    <row r="1123" ht="14.25"/>
    <row r="1124" ht="14.25"/>
    <row r="1125" ht="14.25"/>
    <row r="1126" ht="14.25"/>
    <row r="1127" ht="14.25"/>
    <row r="1128" ht="14.25"/>
    <row r="1129" ht="14.25"/>
    <row r="1130" ht="14.25"/>
    <row r="1131" ht="14.25"/>
    <row r="1132" ht="14.25"/>
    <row r="1133" ht="14.25"/>
    <row r="1134" ht="14.25"/>
    <row r="1135" ht="14.25"/>
    <row r="1136" ht="14.25"/>
    <row r="1137" ht="14.25"/>
    <row r="1138" ht="14.25"/>
    <row r="1139" ht="14.25"/>
    <row r="1140" ht="14.25"/>
    <row r="1141" ht="14.25"/>
    <row r="1142" ht="14.25"/>
    <row r="1143" ht="14.25"/>
    <row r="1144" ht="14.25"/>
    <row r="1145" ht="14.25"/>
    <row r="1146" ht="14.25"/>
    <row r="1147" ht="14.25"/>
    <row r="1148" ht="14.25"/>
    <row r="1149" ht="14.25"/>
    <row r="1150" ht="14.25"/>
    <row r="1151" ht="14.25"/>
    <row r="1152" ht="14.25"/>
    <row r="1153" ht="14.25"/>
    <row r="1154" ht="14.25"/>
    <row r="1155" ht="14.25"/>
    <row r="1156" ht="14.25"/>
    <row r="1157" ht="14.25"/>
    <row r="1158" ht="14.25"/>
    <row r="1159" ht="14.25"/>
    <row r="1160" ht="14.25"/>
    <row r="1161" ht="14.25"/>
    <row r="1162" ht="14.25"/>
    <row r="1163" ht="14.25"/>
    <row r="1164" ht="14.25"/>
    <row r="1165" ht="14.25"/>
    <row r="1166" ht="14.25"/>
    <row r="1167" ht="14.25"/>
    <row r="1168" ht="14.25"/>
    <row r="1169" ht="14.25"/>
    <row r="1170" ht="14.25"/>
    <row r="1171" ht="14.25"/>
  </sheetData>
  <mergeCells count="45">
    <mergeCell ref="A114:J114"/>
    <mergeCell ref="A115:J115"/>
    <mergeCell ref="A116:J116"/>
    <mergeCell ref="F138:AB138"/>
    <mergeCell ref="F139:AB139"/>
    <mergeCell ref="AS59:AU59"/>
    <mergeCell ref="D60:E60"/>
    <mergeCell ref="L60:U60"/>
    <mergeCell ref="D61:E61"/>
    <mergeCell ref="L61:U61"/>
    <mergeCell ref="A113:J113"/>
    <mergeCell ref="D57:E57"/>
    <mergeCell ref="L57:U57"/>
    <mergeCell ref="D58:E58"/>
    <mergeCell ref="L58:U58"/>
    <mergeCell ref="D59:E59"/>
    <mergeCell ref="L59:U59"/>
    <mergeCell ref="D56:E56"/>
    <mergeCell ref="C8:G8"/>
    <mergeCell ref="J8:K8"/>
    <mergeCell ref="N8:P8"/>
    <mergeCell ref="U8:V8"/>
    <mergeCell ref="C10:E10"/>
    <mergeCell ref="N10:P10"/>
    <mergeCell ref="N11:P11"/>
    <mergeCell ref="C12:E12"/>
    <mergeCell ref="N12:P12"/>
    <mergeCell ref="O16:P16"/>
    <mergeCell ref="B39:D44"/>
    <mergeCell ref="C6:G6"/>
    <mergeCell ref="J6:K6"/>
    <mergeCell ref="N6:Q6"/>
    <mergeCell ref="U6:V6"/>
    <mergeCell ref="C7:G7"/>
    <mergeCell ref="J7:K7"/>
    <mergeCell ref="N7:Q7"/>
    <mergeCell ref="U7:V7"/>
    <mergeCell ref="C4:G4"/>
    <mergeCell ref="J4:K4"/>
    <mergeCell ref="N4:Q4"/>
    <mergeCell ref="U4:V4"/>
    <mergeCell ref="C5:G5"/>
    <mergeCell ref="J5:K5"/>
    <mergeCell ref="N5:Q5"/>
    <mergeCell ref="U5:V5"/>
  </mergeCells>
  <conditionalFormatting sqref="B39:D44">
    <cfRule type="cellIs" dxfId="2" priority="1" stopIfTrue="1" operator="notEqual">
      <formula>0</formula>
    </cfRule>
  </conditionalFormatting>
  <pageMargins left="0.70866141732283472" right="0.19685039370078741" top="0.27559055118110237" bottom="0.39370078740157483" header="0.23622047244094491" footer="0.11811023622047245"/>
  <pageSetup paperSize="9" orientation="portrait" r:id="rId1"/>
  <headerFooter alignWithMargins="0">
    <oddHeader xml:space="preserve">&amp;C&amp;"Arial Narrow,Bold"&amp;14 </oddHeader>
    <oddFooter>&amp;L&amp;"Verdana,Regular"&amp;8Page &amp;P/&amp;N&amp;R&amp;"Verdana,Regular"&amp;8File: &amp;F</oddFooter>
  </headerFooter>
  <rowBreaks count="1" manualBreakCount="1">
    <brk id="62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346</vt:i4>
      </vt:variant>
    </vt:vector>
  </HeadingPairs>
  <TitlesOfParts>
    <vt:vector size="352" baseType="lpstr">
      <vt:lpstr>Index</vt:lpstr>
      <vt:lpstr>Luminaire Schedule</vt:lpstr>
      <vt:lpstr>14L1</vt:lpstr>
      <vt:lpstr>14L2</vt:lpstr>
      <vt:lpstr>14L3</vt:lpstr>
      <vt:lpstr>7L3b</vt:lpstr>
      <vt:lpstr>Area_Zone_Level</vt:lpstr>
      <vt:lpstr>'14L1'!ccts_extender</vt:lpstr>
      <vt:lpstr>'14L2'!ccts_extender</vt:lpstr>
      <vt:lpstr>'14L3'!ccts_extender</vt:lpstr>
      <vt:lpstr>'7L3b'!ccts_extender</vt:lpstr>
      <vt:lpstr>'14L1'!ccts_mdb</vt:lpstr>
      <vt:lpstr>'14L2'!ccts_mdb</vt:lpstr>
      <vt:lpstr>'14L3'!ccts_mdb</vt:lpstr>
      <vt:lpstr>'7L3b'!ccts_mdb</vt:lpstr>
      <vt:lpstr>'14L1'!ccts_SD</vt:lpstr>
      <vt:lpstr>'14L2'!ccts_SD</vt:lpstr>
      <vt:lpstr>'14L3'!ccts_SD</vt:lpstr>
      <vt:lpstr>'7L3b'!ccts_SD</vt:lpstr>
      <vt:lpstr>'14L1'!Cg_2</vt:lpstr>
      <vt:lpstr>'14L2'!Cg_2</vt:lpstr>
      <vt:lpstr>'14L3'!Cg_2</vt:lpstr>
      <vt:lpstr>'7L3b'!Cg_2</vt:lpstr>
      <vt:lpstr>'14L1'!Combo_1</vt:lpstr>
      <vt:lpstr>'14L2'!Combo_1</vt:lpstr>
      <vt:lpstr>'14L3'!Combo_1</vt:lpstr>
      <vt:lpstr>'7L3b'!Combo_1</vt:lpstr>
      <vt:lpstr>'14L1'!CPD</vt:lpstr>
      <vt:lpstr>'14L2'!CPD</vt:lpstr>
      <vt:lpstr>'14L3'!CPD</vt:lpstr>
      <vt:lpstr>'7L3b'!CPD</vt:lpstr>
      <vt:lpstr>'14L1'!cpd_type</vt:lpstr>
      <vt:lpstr>'14L2'!cpd_type</vt:lpstr>
      <vt:lpstr>'14L3'!cpd_type</vt:lpstr>
      <vt:lpstr>'7L3b'!cpd_type</vt:lpstr>
      <vt:lpstr>Date</vt:lpstr>
      <vt:lpstr>DB_Ref</vt:lpstr>
      <vt:lpstr>'14L1'!Disconnection_Time</vt:lpstr>
      <vt:lpstr>'14L2'!Disconnection_Time</vt:lpstr>
      <vt:lpstr>'14L3'!Disconnection_Time</vt:lpstr>
      <vt:lpstr>'7L3b'!Disconnection_Time</vt:lpstr>
      <vt:lpstr>Drawing_No</vt:lpstr>
      <vt:lpstr>'14L1'!extender_Cg</vt:lpstr>
      <vt:lpstr>'14L2'!extender_Cg</vt:lpstr>
      <vt:lpstr>'14L3'!extender_Cg</vt:lpstr>
      <vt:lpstr>'7L3b'!extender_Cg</vt:lpstr>
      <vt:lpstr>'14L1'!extender_CPD_R_Factor</vt:lpstr>
      <vt:lpstr>'14L2'!extender_CPD_R_Factor</vt:lpstr>
      <vt:lpstr>'14L3'!extender_CPD_R_Factor</vt:lpstr>
      <vt:lpstr>'7L3b'!extender_CPD_R_Factor</vt:lpstr>
      <vt:lpstr>'14L1'!extender_csa</vt:lpstr>
      <vt:lpstr>'14L2'!extender_csa</vt:lpstr>
      <vt:lpstr>'14L3'!extender_csa</vt:lpstr>
      <vt:lpstr>'7L3b'!extender_csa</vt:lpstr>
      <vt:lpstr>'14L1'!extender_i_limit</vt:lpstr>
      <vt:lpstr>'14L2'!extender_i_limit</vt:lpstr>
      <vt:lpstr>'14L3'!extender_i_limit</vt:lpstr>
      <vt:lpstr>'7L3b'!extender_i_limit</vt:lpstr>
      <vt:lpstr>'14L1'!extender_ins</vt:lpstr>
      <vt:lpstr>'14L2'!extender_ins</vt:lpstr>
      <vt:lpstr>'14L3'!extender_ins</vt:lpstr>
      <vt:lpstr>'7L3b'!extender_ins</vt:lpstr>
      <vt:lpstr>'14L1'!extender_It</vt:lpstr>
      <vt:lpstr>'14L2'!extender_It</vt:lpstr>
      <vt:lpstr>'14L3'!extender_It</vt:lpstr>
      <vt:lpstr>'7L3b'!extender_It</vt:lpstr>
      <vt:lpstr>'14L1'!extender_It1</vt:lpstr>
      <vt:lpstr>'14L2'!extender_It1</vt:lpstr>
      <vt:lpstr>'14L3'!extender_It1</vt:lpstr>
      <vt:lpstr>'7L3b'!extender_It1</vt:lpstr>
      <vt:lpstr>'14L1'!extender_It2</vt:lpstr>
      <vt:lpstr>'14L2'!extender_It2</vt:lpstr>
      <vt:lpstr>'14L3'!extender_It2</vt:lpstr>
      <vt:lpstr>'7L3b'!extender_It2</vt:lpstr>
      <vt:lpstr>'14L1'!extender_PELI</vt:lpstr>
      <vt:lpstr>'14L2'!extender_PELI</vt:lpstr>
      <vt:lpstr>'14L3'!extender_PELI</vt:lpstr>
      <vt:lpstr>'7L3b'!extender_PELI</vt:lpstr>
      <vt:lpstr>'14L1'!extender_R20cPHA</vt:lpstr>
      <vt:lpstr>'14L2'!extender_R20cPHA</vt:lpstr>
      <vt:lpstr>'14L3'!extender_R20cPHA</vt:lpstr>
      <vt:lpstr>'7L3b'!extender_R20cPHA</vt:lpstr>
      <vt:lpstr>'14L1'!extender_tp</vt:lpstr>
      <vt:lpstr>'14L2'!extender_tp</vt:lpstr>
      <vt:lpstr>'14L3'!extender_tp</vt:lpstr>
      <vt:lpstr>'7L3b'!extender_tp</vt:lpstr>
      <vt:lpstr>'14L1'!extender_Vd</vt:lpstr>
      <vt:lpstr>'14L2'!extender_Vd</vt:lpstr>
      <vt:lpstr>'14L3'!extender_Vd</vt:lpstr>
      <vt:lpstr>'7L3b'!extender_Vd</vt:lpstr>
      <vt:lpstr>'14L1'!extender_Vd1</vt:lpstr>
      <vt:lpstr>'14L2'!extender_Vd1</vt:lpstr>
      <vt:lpstr>'14L3'!extender_Vd1</vt:lpstr>
      <vt:lpstr>'7L3b'!extender_Vd1</vt:lpstr>
      <vt:lpstr>'14L1'!extender_Vd2</vt:lpstr>
      <vt:lpstr>'14L2'!extender_Vd2</vt:lpstr>
      <vt:lpstr>'14L3'!extender_Vd2</vt:lpstr>
      <vt:lpstr>'7L3b'!extender_Vd2</vt:lpstr>
      <vt:lpstr>'14L1'!extender_Z1</vt:lpstr>
      <vt:lpstr>'14L2'!extender_Z1</vt:lpstr>
      <vt:lpstr>'14L3'!extender_Z1</vt:lpstr>
      <vt:lpstr>'7L3b'!extender_Z1</vt:lpstr>
      <vt:lpstr>'14L1'!extender_Z2</vt:lpstr>
      <vt:lpstr>'14L2'!extender_Z2</vt:lpstr>
      <vt:lpstr>'14L3'!extender_Z2</vt:lpstr>
      <vt:lpstr>'7L3b'!extender_Z2</vt:lpstr>
      <vt:lpstr>'14L1'!Extender_ZinstCPC</vt:lpstr>
      <vt:lpstr>'14L2'!Extender_ZinstCPC</vt:lpstr>
      <vt:lpstr>'14L3'!Extender_ZinstCPC</vt:lpstr>
      <vt:lpstr>'7L3b'!Extender_ZinstCPC</vt:lpstr>
      <vt:lpstr>'14L1'!Extender_ZinstPH</vt:lpstr>
      <vt:lpstr>'14L2'!Extender_ZinstPH</vt:lpstr>
      <vt:lpstr>'14L3'!Extender_ZinstPH</vt:lpstr>
      <vt:lpstr>'7L3b'!Extender_ZinstPH</vt:lpstr>
      <vt:lpstr>'14L1'!Homerun_Cg</vt:lpstr>
      <vt:lpstr>'14L2'!Homerun_Cg</vt:lpstr>
      <vt:lpstr>'14L3'!Homerun_Cg</vt:lpstr>
      <vt:lpstr>'7L3b'!Homerun_Cg</vt:lpstr>
      <vt:lpstr>'14L1'!homerun_csa</vt:lpstr>
      <vt:lpstr>'14L2'!homerun_csa</vt:lpstr>
      <vt:lpstr>'14L3'!homerun_csa</vt:lpstr>
      <vt:lpstr>'7L3b'!homerun_csa</vt:lpstr>
      <vt:lpstr>'14L1'!homerun_i_limit</vt:lpstr>
      <vt:lpstr>'14L2'!homerun_i_limit</vt:lpstr>
      <vt:lpstr>'14L3'!homerun_i_limit</vt:lpstr>
      <vt:lpstr>'7L3b'!homerun_i_limit</vt:lpstr>
      <vt:lpstr>'14L1'!homerun_ins</vt:lpstr>
      <vt:lpstr>'14L2'!homerun_ins</vt:lpstr>
      <vt:lpstr>'14L3'!homerun_ins</vt:lpstr>
      <vt:lpstr>'7L3b'!homerun_ins</vt:lpstr>
      <vt:lpstr>'14L1'!homerun_It</vt:lpstr>
      <vt:lpstr>'14L2'!homerun_It</vt:lpstr>
      <vt:lpstr>'14L3'!homerun_It</vt:lpstr>
      <vt:lpstr>'7L3b'!homerun_It</vt:lpstr>
      <vt:lpstr>'14L1'!homerun_It1</vt:lpstr>
      <vt:lpstr>'14L2'!homerun_It1</vt:lpstr>
      <vt:lpstr>'14L3'!homerun_It1</vt:lpstr>
      <vt:lpstr>'7L3b'!homerun_It1</vt:lpstr>
      <vt:lpstr>'14L1'!homerun_It2</vt:lpstr>
      <vt:lpstr>'14L2'!homerun_It2</vt:lpstr>
      <vt:lpstr>'14L3'!homerun_It2</vt:lpstr>
      <vt:lpstr>'7L3b'!homerun_It2</vt:lpstr>
      <vt:lpstr>'14L1'!homerun_PELI</vt:lpstr>
      <vt:lpstr>'14L2'!homerun_PELI</vt:lpstr>
      <vt:lpstr>'14L3'!homerun_PELI</vt:lpstr>
      <vt:lpstr>'7L3b'!homerun_PELI</vt:lpstr>
      <vt:lpstr>'14L1'!homerun_R20c</vt:lpstr>
      <vt:lpstr>'14L2'!homerun_R20c</vt:lpstr>
      <vt:lpstr>'14L3'!homerun_R20c</vt:lpstr>
      <vt:lpstr>'7L3b'!homerun_R20c</vt:lpstr>
      <vt:lpstr>'14L1'!homerun_tp</vt:lpstr>
      <vt:lpstr>'14L2'!homerun_tp</vt:lpstr>
      <vt:lpstr>'14L3'!homerun_tp</vt:lpstr>
      <vt:lpstr>'7L3b'!homerun_tp</vt:lpstr>
      <vt:lpstr>'14L1'!homerun_Vd</vt:lpstr>
      <vt:lpstr>'14L2'!homerun_Vd</vt:lpstr>
      <vt:lpstr>'14L3'!homerun_Vd</vt:lpstr>
      <vt:lpstr>'7L3b'!homerun_Vd</vt:lpstr>
      <vt:lpstr>'14L1'!homerun_Vd1</vt:lpstr>
      <vt:lpstr>'14L2'!homerun_Vd1</vt:lpstr>
      <vt:lpstr>'14L3'!homerun_Vd1</vt:lpstr>
      <vt:lpstr>'7L3b'!homerun_Vd1</vt:lpstr>
      <vt:lpstr>'14L1'!homerun_Vd2</vt:lpstr>
      <vt:lpstr>'14L2'!homerun_Vd2</vt:lpstr>
      <vt:lpstr>'14L3'!homerun_Vd2</vt:lpstr>
      <vt:lpstr>'7L3b'!homerun_Vd2</vt:lpstr>
      <vt:lpstr>'14L1'!homerun_Z1</vt:lpstr>
      <vt:lpstr>'14L2'!homerun_Z1</vt:lpstr>
      <vt:lpstr>'14L3'!homerun_Z1</vt:lpstr>
      <vt:lpstr>'7L3b'!homerun_Z1</vt:lpstr>
      <vt:lpstr>'14L1'!homerun_Z2</vt:lpstr>
      <vt:lpstr>'14L2'!homerun_Z2</vt:lpstr>
      <vt:lpstr>'14L3'!homerun_Z2</vt:lpstr>
      <vt:lpstr>'7L3b'!homerun_Z2</vt:lpstr>
      <vt:lpstr>'14L1'!Homerun_ZinstCPC</vt:lpstr>
      <vt:lpstr>'14L2'!Homerun_ZinstCPC</vt:lpstr>
      <vt:lpstr>'14L3'!Homerun_ZinstCPC</vt:lpstr>
      <vt:lpstr>'7L3b'!Homerun_ZinstCPC</vt:lpstr>
      <vt:lpstr>'14L1'!Homerun_ZinstPH</vt:lpstr>
      <vt:lpstr>'14L2'!Homerun_ZinstPH</vt:lpstr>
      <vt:lpstr>'14L3'!Homerun_ZinstPH</vt:lpstr>
      <vt:lpstr>'7L3b'!Homerun_ZinstPH</vt:lpstr>
      <vt:lpstr>'14L1'!In</vt:lpstr>
      <vt:lpstr>'14L2'!In</vt:lpstr>
      <vt:lpstr>'14L3'!In</vt:lpstr>
      <vt:lpstr>'7L3b'!In</vt:lpstr>
      <vt:lpstr>'14L1'!Ipsc</vt:lpstr>
      <vt:lpstr>'14L2'!Ipsc</vt:lpstr>
      <vt:lpstr>'14L3'!Ipsc</vt:lpstr>
      <vt:lpstr>'7L3b'!Ipsc</vt:lpstr>
      <vt:lpstr>Ipsc_Max_DB</vt:lpstr>
      <vt:lpstr>Lum_A</vt:lpstr>
      <vt:lpstr>Lum_B</vt:lpstr>
      <vt:lpstr>Lum_C</vt:lpstr>
      <vt:lpstr>Lum_C2</vt:lpstr>
      <vt:lpstr>Lum_C3</vt:lpstr>
      <vt:lpstr>Lum_D</vt:lpstr>
      <vt:lpstr>Lum_EM</vt:lpstr>
      <vt:lpstr>Lum_EX</vt:lpstr>
      <vt:lpstr>Lum_EX2</vt:lpstr>
      <vt:lpstr>Lum_F</vt:lpstr>
      <vt:lpstr>Lum_G</vt:lpstr>
      <vt:lpstr>Lum_H1</vt:lpstr>
      <vt:lpstr>Lum_H2</vt:lpstr>
      <vt:lpstr>Lum_J</vt:lpstr>
      <vt:lpstr>Lum_K</vt:lpstr>
      <vt:lpstr>Lum_L</vt:lpstr>
      <vt:lpstr>Lum_M</vt:lpstr>
      <vt:lpstr>Lum_M2</vt:lpstr>
      <vt:lpstr>Lum_N</vt:lpstr>
      <vt:lpstr>Lum_P</vt:lpstr>
      <vt:lpstr>Lum_P1</vt:lpstr>
      <vt:lpstr>Lum_Q</vt:lpstr>
      <vt:lpstr>Lum_Q2</vt:lpstr>
      <vt:lpstr>Lum_R</vt:lpstr>
      <vt:lpstr>Lum_S</vt:lpstr>
      <vt:lpstr>Lum_T</vt:lpstr>
      <vt:lpstr>Lum_U</vt:lpstr>
      <vt:lpstr>Lum_V</vt:lpstr>
      <vt:lpstr>Lum_W</vt:lpstr>
      <vt:lpstr>Lum_W1</vt:lpstr>
      <vt:lpstr>Lum_W2</vt:lpstr>
      <vt:lpstr>Lum_W3</vt:lpstr>
      <vt:lpstr>Lum_Y</vt:lpstr>
      <vt:lpstr>Lum_Y2</vt:lpstr>
      <vt:lpstr>'14L1'!Max_CPD1</vt:lpstr>
      <vt:lpstr>'14L2'!Max_CPD1</vt:lpstr>
      <vt:lpstr>'14L3'!Max_CPD1</vt:lpstr>
      <vt:lpstr>'7L3b'!Max_CPD1</vt:lpstr>
      <vt:lpstr>'14L1'!Max_CPD2</vt:lpstr>
      <vt:lpstr>'14L2'!Max_CPD2</vt:lpstr>
      <vt:lpstr>'14L3'!Max_CPD2</vt:lpstr>
      <vt:lpstr>'7L3b'!Max_CPD2</vt:lpstr>
      <vt:lpstr>'14L1'!Max_VD</vt:lpstr>
      <vt:lpstr>'14L2'!Max_VD</vt:lpstr>
      <vt:lpstr>'14L3'!Max_VD</vt:lpstr>
      <vt:lpstr>'7L3b'!Max_VD</vt:lpstr>
      <vt:lpstr>Max_VD_percent</vt:lpstr>
      <vt:lpstr>'14L1'!mdb_Cg</vt:lpstr>
      <vt:lpstr>'14L2'!mdb_Cg</vt:lpstr>
      <vt:lpstr>'14L3'!mdb_Cg</vt:lpstr>
      <vt:lpstr>'7L3b'!mdb_Cg</vt:lpstr>
      <vt:lpstr>'14L1'!mdb_CPD_R_Factor</vt:lpstr>
      <vt:lpstr>'14L2'!mdb_CPD_R_Factor</vt:lpstr>
      <vt:lpstr>'14L3'!mdb_CPD_R_Factor</vt:lpstr>
      <vt:lpstr>'7L3b'!mdb_CPD_R_Factor</vt:lpstr>
      <vt:lpstr>'14L1'!nominal_V</vt:lpstr>
      <vt:lpstr>'14L2'!nominal_V</vt:lpstr>
      <vt:lpstr>'14L3'!nominal_V</vt:lpstr>
      <vt:lpstr>'7L3b'!nominal_V</vt:lpstr>
      <vt:lpstr>Prep_By</vt:lpstr>
      <vt:lpstr>'14L1'!Print_Area</vt:lpstr>
      <vt:lpstr>'14L2'!Print_Area</vt:lpstr>
      <vt:lpstr>'14L3'!Print_Area</vt:lpstr>
      <vt:lpstr>'7L3b'!Print_Area</vt:lpstr>
      <vt:lpstr>Index!Print_Area</vt:lpstr>
      <vt:lpstr>'14L1'!Print_Titles</vt:lpstr>
      <vt:lpstr>'14L2'!Print_Titles</vt:lpstr>
      <vt:lpstr>'14L3'!Print_Titles</vt:lpstr>
      <vt:lpstr>'7L3b'!Print_Titles</vt:lpstr>
      <vt:lpstr>Index!Print_Titles</vt:lpstr>
      <vt:lpstr>Project_Name</vt:lpstr>
      <vt:lpstr>Project_No</vt:lpstr>
      <vt:lpstr>'14L1'!SD_Cg</vt:lpstr>
      <vt:lpstr>'14L2'!SD_Cg</vt:lpstr>
      <vt:lpstr>'14L3'!SD_Cg</vt:lpstr>
      <vt:lpstr>'7L3b'!SD_Cg</vt:lpstr>
      <vt:lpstr>'14L1'!SD_CPD_R_Factor</vt:lpstr>
      <vt:lpstr>'14L2'!SD_CPD_R_Factor</vt:lpstr>
      <vt:lpstr>'14L3'!SD_CPD_R_Factor</vt:lpstr>
      <vt:lpstr>'7L3b'!SD_CPD_R_Factor</vt:lpstr>
      <vt:lpstr>'14L1'!SD_csa</vt:lpstr>
      <vt:lpstr>'14L2'!SD_csa</vt:lpstr>
      <vt:lpstr>'14L3'!SD_csa</vt:lpstr>
      <vt:lpstr>'7L3b'!SD_csa</vt:lpstr>
      <vt:lpstr>'14L1'!SD_i_limit</vt:lpstr>
      <vt:lpstr>'14L2'!SD_i_limit</vt:lpstr>
      <vt:lpstr>'14L3'!SD_i_limit</vt:lpstr>
      <vt:lpstr>'7L3b'!SD_i_limit</vt:lpstr>
      <vt:lpstr>'14L1'!SD_ins</vt:lpstr>
      <vt:lpstr>'14L2'!SD_ins</vt:lpstr>
      <vt:lpstr>'14L3'!SD_ins</vt:lpstr>
      <vt:lpstr>'7L3b'!SD_ins</vt:lpstr>
      <vt:lpstr>'14L1'!SD_It</vt:lpstr>
      <vt:lpstr>'14L2'!SD_It</vt:lpstr>
      <vt:lpstr>'14L3'!SD_It</vt:lpstr>
      <vt:lpstr>'7L3b'!SD_It</vt:lpstr>
      <vt:lpstr>'14L1'!SD_It1</vt:lpstr>
      <vt:lpstr>'14L2'!SD_It1</vt:lpstr>
      <vt:lpstr>'14L3'!SD_It1</vt:lpstr>
      <vt:lpstr>'7L3b'!SD_It1</vt:lpstr>
      <vt:lpstr>'14L1'!SD_PELI</vt:lpstr>
      <vt:lpstr>'14L2'!SD_PELI</vt:lpstr>
      <vt:lpstr>'14L3'!SD_PELI</vt:lpstr>
      <vt:lpstr>'7L3b'!SD_PELI</vt:lpstr>
      <vt:lpstr>'14L1'!SD_R20c</vt:lpstr>
      <vt:lpstr>'14L2'!SD_R20c</vt:lpstr>
      <vt:lpstr>'14L3'!SD_R20c</vt:lpstr>
      <vt:lpstr>'7L3b'!SD_R20c</vt:lpstr>
      <vt:lpstr>'14L1'!SD_tp</vt:lpstr>
      <vt:lpstr>'14L2'!SD_tp</vt:lpstr>
      <vt:lpstr>'14L3'!SD_tp</vt:lpstr>
      <vt:lpstr>'7L3b'!SD_tp</vt:lpstr>
      <vt:lpstr>'14L1'!SD_Vd</vt:lpstr>
      <vt:lpstr>'14L2'!SD_Vd</vt:lpstr>
      <vt:lpstr>'14L3'!SD_Vd</vt:lpstr>
      <vt:lpstr>'7L3b'!SD_Vd</vt:lpstr>
      <vt:lpstr>'14L1'!SD_Vd1</vt:lpstr>
      <vt:lpstr>'14L2'!SD_Vd1</vt:lpstr>
      <vt:lpstr>'14L3'!SD_Vd1</vt:lpstr>
      <vt:lpstr>'7L3b'!SD_Vd1</vt:lpstr>
      <vt:lpstr>'14L1'!SD_Z1</vt:lpstr>
      <vt:lpstr>'14L2'!SD_Z1</vt:lpstr>
      <vt:lpstr>'14L3'!SD_Z1</vt:lpstr>
      <vt:lpstr>'7L3b'!SD_Z1</vt:lpstr>
      <vt:lpstr>'14L1'!SD_ZinstCPC</vt:lpstr>
      <vt:lpstr>'14L2'!SD_ZinstCPC</vt:lpstr>
      <vt:lpstr>'14L3'!SD_ZinstCPC</vt:lpstr>
      <vt:lpstr>'7L3b'!SD_ZinstCPC</vt:lpstr>
      <vt:lpstr>'14L1'!SD_ZinstPH</vt:lpstr>
      <vt:lpstr>'14L2'!SD_ZinstPH</vt:lpstr>
      <vt:lpstr>'14L3'!SD_ZinstPH</vt:lpstr>
      <vt:lpstr>'7L3b'!SD_ZinstPH</vt:lpstr>
      <vt:lpstr>Service</vt:lpstr>
      <vt:lpstr>Source_Nominal_V</vt:lpstr>
      <vt:lpstr>'14L1'!V_Source</vt:lpstr>
      <vt:lpstr>'14L2'!V_Source</vt:lpstr>
      <vt:lpstr>'14L3'!V_Source</vt:lpstr>
      <vt:lpstr>'7L3b'!V_Source</vt:lpstr>
      <vt:lpstr>VD_L1</vt:lpstr>
      <vt:lpstr>VD_L2</vt:lpstr>
      <vt:lpstr>VD_L3</vt:lpstr>
      <vt:lpstr>'14L1'!VD_Source</vt:lpstr>
      <vt:lpstr>'14L2'!VD_Source</vt:lpstr>
      <vt:lpstr>'14L3'!VD_Source</vt:lpstr>
      <vt:lpstr>'7L3b'!VD_Source</vt:lpstr>
      <vt:lpstr>VDV_L1</vt:lpstr>
      <vt:lpstr>VDV_L2</vt:lpstr>
      <vt:lpstr>VDV_L3</vt:lpstr>
      <vt:lpstr>'14L1'!Ze</vt:lpstr>
      <vt:lpstr>'14L2'!Ze</vt:lpstr>
      <vt:lpstr>'14L3'!Ze</vt:lpstr>
      <vt:lpstr>'7L3b'!Ze</vt:lpstr>
      <vt:lpstr>'14L1'!Zinst_PHASE</vt:lpstr>
      <vt:lpstr>'14L2'!Zinst_PHASE</vt:lpstr>
      <vt:lpstr>'14L3'!Zinst_PHASE</vt:lpstr>
      <vt:lpstr>'7L3b'!Zinst_PHASE</vt:lpstr>
      <vt:lpstr>'14L1'!Zs</vt:lpstr>
      <vt:lpstr>'14L2'!Zs</vt:lpstr>
      <vt:lpstr>'14L3'!Zs</vt:lpstr>
      <vt:lpstr>'7L3b'!Zs</vt:lpstr>
      <vt:lpstr>Zs_DB</vt:lpstr>
    </vt:vector>
  </TitlesOfParts>
  <Company>The ARK Electrical Design Co.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NAHolmes</dc:creator>
  <cp:lastModifiedBy>Neil Holmes</cp:lastModifiedBy>
  <cp:lastPrinted>2010-06-29T10:18:14Z</cp:lastPrinted>
  <dcterms:created xsi:type="dcterms:W3CDTF">2007-12-25T22:22:52Z</dcterms:created>
  <dcterms:modified xsi:type="dcterms:W3CDTF">2012-04-26T12:46:04Z</dcterms:modified>
</cp:coreProperties>
</file>